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MPRO BD\"/>
    </mc:Choice>
  </mc:AlternateContent>
  <xr:revisionPtr revIDLastSave="0" documentId="13_ncr:1_{FEC2D0DC-6ACC-49D2-B664-E3A1251B569A}" xr6:coauthVersionLast="47" xr6:coauthVersionMax="47" xr10:uidLastSave="{00000000-0000-0000-0000-000000000000}"/>
  <bookViews>
    <workbookView xWindow="-120" yWindow="-120" windowWidth="25440" windowHeight="15390" tabRatio="572" activeTab="1" xr2:uid="{00000000-000D-0000-FFFF-FFFF00000000}"/>
  </bookViews>
  <sheets>
    <sheet name="BD " sheetId="12" r:id="rId1"/>
    <sheet name="General" sheetId="3" r:id="rId2"/>
    <sheet name="Lista de Clientes" sheetId="2" r:id="rId3"/>
    <sheet name="Visitas" sheetId="9" r:id="rId4"/>
    <sheet name="Llamadas" sheetId="10" r:id="rId5"/>
    <sheet name="Dashboard" sheetId="6" r:id="rId6"/>
    <sheet name="INDICADORES (D)" sheetId="17" r:id="rId7"/>
    <sheet name="INDICADORES (M)" sheetId="14" r:id="rId8"/>
    <sheet name="INDICADORES (A)" sheetId="15" r:id="rId9"/>
    <sheet name="Metas" sheetId="16" r:id="rId10"/>
  </sheets>
  <definedNames>
    <definedName name="_xlnm._FilterDatabase" localSheetId="8" hidden="1">'INDICADORES (A)'!$A$52:$O$139</definedName>
    <definedName name="SegmentaciónDeDatos_Cliente___Empresa">#N/A</definedName>
    <definedName name="SegmentaciónDeDatos_Estatus_de__Cotización">#N/A</definedName>
    <definedName name="SegmentaciónDeDatos_Fecha_de_Envío_Cotización">#N/A</definedName>
    <definedName name="SegmentaciónDeDatos_Mes_Cotizacion">#N/A</definedName>
    <definedName name="SegmentaciónDeDatos_MES_COTIZACION1">#N/A</definedName>
    <definedName name="SegmentaciónDeDatos_Mes_O.C">#N/A</definedName>
    <definedName name="SegmentaciónDeDatos_STATUS">#N/A</definedName>
    <definedName name="SegmentaciónDeDatos_Vendedor">#N/A</definedName>
    <definedName name="SegmentaciónDeDatos_Vendedor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2" i="12" l="1"/>
  <c r="Q162" i="12"/>
  <c r="R162" i="12"/>
  <c r="F742" i="3"/>
  <c r="G742" i="3" s="1"/>
  <c r="C742" i="3"/>
  <c r="O742" i="3"/>
  <c r="R742" i="3" s="1"/>
  <c r="S742" i="3"/>
  <c r="T742" i="3"/>
  <c r="C161" i="12"/>
  <c r="Q161" i="12"/>
  <c r="R161" i="12"/>
  <c r="C158" i="12"/>
  <c r="Q158" i="12"/>
  <c r="R158" i="12"/>
  <c r="C159" i="12"/>
  <c r="Q159" i="12"/>
  <c r="R159" i="12"/>
  <c r="C160" i="12"/>
  <c r="Q160" i="12"/>
  <c r="R160" i="12"/>
  <c r="C157" i="12"/>
  <c r="Q157" i="12"/>
  <c r="R157" i="12"/>
  <c r="F741" i="3"/>
  <c r="G741" i="3" s="1"/>
  <c r="C741" i="3"/>
  <c r="O741" i="3"/>
  <c r="R741" i="3" s="1"/>
  <c r="S741" i="3"/>
  <c r="T741" i="3"/>
  <c r="C978" i="12"/>
  <c r="Q978" i="12"/>
  <c r="R978" i="12"/>
  <c r="C979" i="12"/>
  <c r="Q979" i="12"/>
  <c r="R979" i="12"/>
  <c r="C980" i="12"/>
  <c r="Q980" i="12"/>
  <c r="R980" i="12"/>
  <c r="C977" i="12"/>
  <c r="Q977" i="12"/>
  <c r="R977" i="12"/>
  <c r="F747" i="3"/>
  <c r="G747" i="3" s="1"/>
  <c r="C747" i="3"/>
  <c r="O747" i="3"/>
  <c r="Q747" i="3" s="1"/>
  <c r="S747" i="3"/>
  <c r="T747" i="3"/>
  <c r="F746" i="3"/>
  <c r="G746" i="3" s="1"/>
  <c r="C746" i="3"/>
  <c r="O746" i="3"/>
  <c r="Q746" i="3" s="1"/>
  <c r="S746" i="3"/>
  <c r="T746" i="3"/>
  <c r="C1327" i="12"/>
  <c r="Q1327" i="12"/>
  <c r="R1327" i="12"/>
  <c r="C976" i="12"/>
  <c r="Q976" i="12"/>
  <c r="R976" i="12"/>
  <c r="F745" i="3"/>
  <c r="G745" i="3" s="1"/>
  <c r="C745" i="3"/>
  <c r="O745" i="3"/>
  <c r="Q745" i="3" s="1"/>
  <c r="S745" i="3"/>
  <c r="T745" i="3"/>
  <c r="C1326" i="12"/>
  <c r="Q1326" i="12"/>
  <c r="R1326" i="12"/>
  <c r="F744" i="3"/>
  <c r="G744" i="3" s="1"/>
  <c r="C744" i="3"/>
  <c r="O744" i="3"/>
  <c r="Q744" i="3" s="1"/>
  <c r="S744" i="3"/>
  <c r="T744" i="3"/>
  <c r="C470" i="12"/>
  <c r="Q470" i="12"/>
  <c r="R470" i="12"/>
  <c r="C469" i="12"/>
  <c r="Q469" i="12"/>
  <c r="R469" i="12"/>
  <c r="C468" i="12"/>
  <c r="Q468" i="12"/>
  <c r="R468" i="12"/>
  <c r="Q1325" i="12"/>
  <c r="R1325" i="12"/>
  <c r="F743" i="3"/>
  <c r="G743" i="3" s="1"/>
  <c r="C743" i="3"/>
  <c r="O743" i="3"/>
  <c r="Q743" i="3" s="1"/>
  <c r="S743" i="3"/>
  <c r="T743" i="3"/>
  <c r="Q742" i="3" l="1"/>
  <c r="Q741" i="3"/>
  <c r="R747" i="3"/>
  <c r="R746" i="3"/>
  <c r="R745" i="3"/>
  <c r="R744" i="3"/>
  <c r="R743" i="3"/>
  <c r="F740" i="3"/>
  <c r="G740" i="3" s="1"/>
  <c r="C740" i="3"/>
  <c r="O740" i="3"/>
  <c r="Q740" i="3" s="1"/>
  <c r="S740" i="3"/>
  <c r="T740" i="3"/>
  <c r="C1324" i="12"/>
  <c r="Q1324" i="12"/>
  <c r="R1324" i="12"/>
  <c r="F739" i="3"/>
  <c r="G739" i="3" s="1"/>
  <c r="C739" i="3"/>
  <c r="O739" i="3"/>
  <c r="Q739" i="3" s="1"/>
  <c r="S739" i="3"/>
  <c r="T739" i="3"/>
  <c r="C156" i="12"/>
  <c r="Q156" i="12"/>
  <c r="R156" i="12"/>
  <c r="G738" i="3"/>
  <c r="C738" i="3"/>
  <c r="S738" i="3"/>
  <c r="T738" i="3"/>
  <c r="C1323" i="12"/>
  <c r="Q1323" i="12"/>
  <c r="R1323" i="12"/>
  <c r="F737" i="3"/>
  <c r="G737" i="3" s="1"/>
  <c r="C737" i="3"/>
  <c r="O737" i="3"/>
  <c r="Q737" i="3" s="1"/>
  <c r="S737" i="3"/>
  <c r="T737" i="3"/>
  <c r="C467" i="12"/>
  <c r="Q467" i="12"/>
  <c r="R467" i="12"/>
  <c r="F736" i="3"/>
  <c r="G736" i="3" s="1"/>
  <c r="C736" i="3"/>
  <c r="O736" i="3"/>
  <c r="R736" i="3" s="1"/>
  <c r="S736" i="3"/>
  <c r="T736" i="3"/>
  <c r="F735" i="3"/>
  <c r="G735" i="3" s="1"/>
  <c r="C735" i="3"/>
  <c r="O735" i="3"/>
  <c r="Q735" i="3" s="1"/>
  <c r="S735" i="3"/>
  <c r="T735" i="3"/>
  <c r="C1322" i="12"/>
  <c r="Q1322" i="12"/>
  <c r="R1322" i="12"/>
  <c r="C1321" i="12"/>
  <c r="Q1321" i="12"/>
  <c r="R1321" i="12"/>
  <c r="C1320" i="12"/>
  <c r="Q1320" i="12"/>
  <c r="R1320" i="12"/>
  <c r="C1319" i="12"/>
  <c r="Q1319" i="12"/>
  <c r="R1319" i="12"/>
  <c r="C1318" i="12"/>
  <c r="Q1318" i="12"/>
  <c r="R1318" i="12"/>
  <c r="C1317" i="12"/>
  <c r="Q1317" i="12"/>
  <c r="R1317" i="12"/>
  <c r="C1316" i="12"/>
  <c r="Q1316" i="12"/>
  <c r="R1316" i="12"/>
  <c r="F734" i="3"/>
  <c r="G734" i="3" s="1"/>
  <c r="C734" i="3"/>
  <c r="O734" i="3"/>
  <c r="Q734" i="3" s="1"/>
  <c r="S734" i="3"/>
  <c r="T734" i="3"/>
  <c r="F709" i="3"/>
  <c r="C1315" i="12"/>
  <c r="Q1315" i="12"/>
  <c r="R1315" i="12"/>
  <c r="F732" i="3"/>
  <c r="G732" i="3" s="1"/>
  <c r="C732" i="3"/>
  <c r="O732" i="3"/>
  <c r="Q732" i="3" s="1"/>
  <c r="S732" i="3"/>
  <c r="T732" i="3"/>
  <c r="C975" i="12"/>
  <c r="Q975" i="12"/>
  <c r="R975" i="12"/>
  <c r="F733" i="3"/>
  <c r="G733" i="3" s="1"/>
  <c r="C733" i="3"/>
  <c r="O733" i="3"/>
  <c r="Q733" i="3" s="1"/>
  <c r="S733" i="3"/>
  <c r="T733" i="3"/>
  <c r="C466" i="12"/>
  <c r="Q466" i="12"/>
  <c r="R466" i="12"/>
  <c r="F731" i="3"/>
  <c r="G731" i="3" s="1"/>
  <c r="C731" i="3"/>
  <c r="O731" i="3"/>
  <c r="Q731" i="3" s="1"/>
  <c r="S731" i="3"/>
  <c r="T731" i="3"/>
  <c r="C974" i="12"/>
  <c r="Q974" i="12"/>
  <c r="R974" i="12"/>
  <c r="F730" i="3"/>
  <c r="G730" i="3" s="1"/>
  <c r="C730" i="3"/>
  <c r="O730" i="3"/>
  <c r="Q730" i="3" s="1"/>
  <c r="S730" i="3"/>
  <c r="T730" i="3"/>
  <c r="C465" i="12"/>
  <c r="Q465" i="12"/>
  <c r="R465" i="12"/>
  <c r="F729" i="3"/>
  <c r="G729" i="3" s="1"/>
  <c r="C729" i="3"/>
  <c r="O729" i="3"/>
  <c r="R729" i="3" s="1"/>
  <c r="S729" i="3"/>
  <c r="T729" i="3"/>
  <c r="C973" i="12"/>
  <c r="Q973" i="12"/>
  <c r="R973" i="12"/>
  <c r="F728" i="3"/>
  <c r="G728" i="3" s="1"/>
  <c r="C728" i="3"/>
  <c r="O728" i="3"/>
  <c r="Q728" i="3" s="1"/>
  <c r="S728" i="3"/>
  <c r="T728" i="3"/>
  <c r="E1267" i="12"/>
  <c r="E1266" i="12"/>
  <c r="E1265" i="12"/>
  <c r="E1264" i="12"/>
  <c r="E1263" i="12"/>
  <c r="E1262" i="12"/>
  <c r="E1261" i="12"/>
  <c r="E1260" i="12"/>
  <c r="O673" i="3"/>
  <c r="C673" i="3"/>
  <c r="S673" i="3"/>
  <c r="T673" i="3"/>
  <c r="C1259" i="12"/>
  <c r="Q1259" i="12"/>
  <c r="R1259" i="12"/>
  <c r="C1260" i="12"/>
  <c r="Q1260" i="12"/>
  <c r="R1260" i="12"/>
  <c r="C1261" i="12"/>
  <c r="Q1261" i="12"/>
  <c r="R1261" i="12"/>
  <c r="C1262" i="12"/>
  <c r="Q1262" i="12"/>
  <c r="R1262" i="12"/>
  <c r="C1263" i="12"/>
  <c r="Q1263" i="12"/>
  <c r="R1263" i="12"/>
  <c r="C1264" i="12"/>
  <c r="Q1264" i="12"/>
  <c r="R1264" i="12"/>
  <c r="C1265" i="12"/>
  <c r="Q1265" i="12"/>
  <c r="R1265" i="12"/>
  <c r="C1266" i="12"/>
  <c r="Q1266" i="12"/>
  <c r="R1266" i="12"/>
  <c r="O738" i="3" l="1"/>
  <c r="Q738" i="3" s="1"/>
  <c r="R740" i="3"/>
  <c r="R739" i="3"/>
  <c r="R737" i="3"/>
  <c r="Q736" i="3"/>
  <c r="R735" i="3"/>
  <c r="R734" i="3"/>
  <c r="R732" i="3"/>
  <c r="R733" i="3"/>
  <c r="R731" i="3"/>
  <c r="R730" i="3"/>
  <c r="Q729" i="3"/>
  <c r="R728" i="3"/>
  <c r="R673" i="3"/>
  <c r="Q673" i="3"/>
  <c r="G673" i="3"/>
  <c r="H77" i="9"/>
  <c r="H76" i="9"/>
  <c r="C462" i="12"/>
  <c r="Q462" i="12"/>
  <c r="R462" i="12"/>
  <c r="C463" i="12"/>
  <c r="Q463" i="12"/>
  <c r="R463" i="12"/>
  <c r="C464" i="12"/>
  <c r="Q464" i="12"/>
  <c r="R464" i="12"/>
  <c r="F726" i="3"/>
  <c r="G726" i="3" s="1"/>
  <c r="C726" i="3"/>
  <c r="O726" i="3"/>
  <c r="R726" i="3" s="1"/>
  <c r="S726" i="3"/>
  <c r="T726" i="3"/>
  <c r="C792" i="12"/>
  <c r="Q792" i="12"/>
  <c r="R792" i="12"/>
  <c r="F725" i="3"/>
  <c r="G725" i="3" s="1"/>
  <c r="C725" i="3"/>
  <c r="O725" i="3"/>
  <c r="Q725" i="3" s="1"/>
  <c r="S725" i="3"/>
  <c r="T725" i="3"/>
  <c r="R738" i="3" l="1"/>
  <c r="Q726" i="3"/>
  <c r="R725" i="3"/>
  <c r="C970" i="12"/>
  <c r="Q970" i="12"/>
  <c r="R970" i="12"/>
  <c r="C971" i="12"/>
  <c r="Q971" i="12"/>
  <c r="R971" i="12"/>
  <c r="F722" i="3"/>
  <c r="G722" i="3" s="1"/>
  <c r="C722" i="3"/>
  <c r="O722" i="3"/>
  <c r="Q722" i="3" s="1"/>
  <c r="S722" i="3"/>
  <c r="T722" i="3"/>
  <c r="C1314" i="12"/>
  <c r="Q1314" i="12"/>
  <c r="R1314" i="12"/>
  <c r="C1313" i="12"/>
  <c r="Q1313" i="12"/>
  <c r="R1313" i="12"/>
  <c r="C1312" i="12"/>
  <c r="Q1312" i="12"/>
  <c r="R1312" i="12"/>
  <c r="C1311" i="12"/>
  <c r="Q1311" i="12"/>
  <c r="R1311" i="12"/>
  <c r="C1310" i="12"/>
  <c r="Q1310" i="12"/>
  <c r="R1310" i="12"/>
  <c r="C1309" i="12"/>
  <c r="Q1309" i="12"/>
  <c r="R1309" i="12"/>
  <c r="C1308" i="12"/>
  <c r="Q1308" i="12"/>
  <c r="R1308" i="12"/>
  <c r="F721" i="3"/>
  <c r="G721" i="3" s="1"/>
  <c r="C721" i="3"/>
  <c r="O721" i="3"/>
  <c r="Q721" i="3" s="1"/>
  <c r="S721" i="3"/>
  <c r="T721" i="3"/>
  <c r="C1307" i="12"/>
  <c r="Q1307" i="12"/>
  <c r="R1307" i="12"/>
  <c r="C1306" i="12"/>
  <c r="Q1306" i="12"/>
  <c r="R1306" i="12"/>
  <c r="C1305" i="12"/>
  <c r="Q1305" i="12"/>
  <c r="R1305" i="12"/>
  <c r="C1304" i="12"/>
  <c r="Q1304" i="12"/>
  <c r="R1304" i="12"/>
  <c r="C1303" i="12"/>
  <c r="Q1303" i="12"/>
  <c r="R1303" i="12"/>
  <c r="C1302" i="12"/>
  <c r="Q1302" i="12"/>
  <c r="R1302" i="12"/>
  <c r="C1301" i="12"/>
  <c r="Q1301" i="12"/>
  <c r="R1301" i="12"/>
  <c r="F720" i="3"/>
  <c r="G720" i="3" s="1"/>
  <c r="C720" i="3"/>
  <c r="O720" i="3"/>
  <c r="Q720" i="3" s="1"/>
  <c r="S720" i="3"/>
  <c r="T720" i="3"/>
  <c r="G724" i="3"/>
  <c r="C724" i="3"/>
  <c r="S724" i="3"/>
  <c r="T724" i="3"/>
  <c r="C155" i="12"/>
  <c r="Q155" i="12"/>
  <c r="R155" i="12"/>
  <c r="C154" i="12"/>
  <c r="Q154" i="12"/>
  <c r="R154" i="12"/>
  <c r="F723" i="3"/>
  <c r="G723" i="3" s="1"/>
  <c r="C723" i="3"/>
  <c r="O723" i="3"/>
  <c r="Q723" i="3" s="1"/>
  <c r="S723" i="3"/>
  <c r="T723" i="3"/>
  <c r="F719" i="3"/>
  <c r="C969" i="12"/>
  <c r="Q969" i="12"/>
  <c r="R969" i="12"/>
  <c r="C461" i="12"/>
  <c r="Q461" i="12"/>
  <c r="R461" i="12"/>
  <c r="C719" i="3"/>
  <c r="G719" i="3"/>
  <c r="O719" i="3"/>
  <c r="Q719" i="3" s="1"/>
  <c r="S719" i="3"/>
  <c r="T719" i="3"/>
  <c r="F718" i="3"/>
  <c r="G718" i="3" s="1"/>
  <c r="C718" i="3"/>
  <c r="O718" i="3"/>
  <c r="R718" i="3" s="1"/>
  <c r="S718" i="3"/>
  <c r="T718" i="3"/>
  <c r="C1300" i="12"/>
  <c r="Q1300" i="12"/>
  <c r="R1300" i="12"/>
  <c r="C1299" i="12"/>
  <c r="Q1299" i="12"/>
  <c r="R1299" i="12"/>
  <c r="F715" i="3"/>
  <c r="G715" i="3" s="1"/>
  <c r="C715" i="3"/>
  <c r="O715" i="3"/>
  <c r="Q715" i="3" s="1"/>
  <c r="S715" i="3"/>
  <c r="T715" i="3"/>
  <c r="F714" i="3"/>
  <c r="G714" i="3" s="1"/>
  <c r="C714" i="3"/>
  <c r="O714" i="3"/>
  <c r="Q714" i="3" s="1"/>
  <c r="S714" i="3"/>
  <c r="T714" i="3"/>
  <c r="C153" i="12"/>
  <c r="Q153" i="12"/>
  <c r="R153" i="12"/>
  <c r="F717" i="3"/>
  <c r="G717" i="3" s="1"/>
  <c r="C717" i="3"/>
  <c r="O717" i="3"/>
  <c r="Q717" i="3" s="1"/>
  <c r="S717" i="3"/>
  <c r="T717" i="3"/>
  <c r="G712" i="3"/>
  <c r="C712" i="3"/>
  <c r="O712" i="3"/>
  <c r="Q712" i="3" s="1"/>
  <c r="S712" i="3"/>
  <c r="T712" i="3"/>
  <c r="C460" i="12"/>
  <c r="Q460" i="12"/>
  <c r="R460" i="12"/>
  <c r="F713" i="3"/>
  <c r="G713" i="3" s="1"/>
  <c r="C713" i="3"/>
  <c r="O713" i="3"/>
  <c r="Q713" i="3" s="1"/>
  <c r="S713" i="3"/>
  <c r="T713" i="3"/>
  <c r="C459" i="12"/>
  <c r="Q459" i="12"/>
  <c r="R459" i="12"/>
  <c r="F711" i="3"/>
  <c r="G711" i="3" s="1"/>
  <c r="C711" i="3"/>
  <c r="O711" i="3"/>
  <c r="Q711" i="3" s="1"/>
  <c r="S711" i="3"/>
  <c r="T711" i="3"/>
  <c r="Q906" i="12"/>
  <c r="R906" i="12"/>
  <c r="F710" i="3"/>
  <c r="G710" i="3" s="1"/>
  <c r="C710" i="3"/>
  <c r="O710" i="3"/>
  <c r="Q710" i="3" s="1"/>
  <c r="S710" i="3"/>
  <c r="T710" i="3"/>
  <c r="F716" i="3"/>
  <c r="G716" i="3" s="1"/>
  <c r="C716" i="3"/>
  <c r="O716" i="3"/>
  <c r="Q716" i="3" s="1"/>
  <c r="S716" i="3"/>
  <c r="T716" i="3"/>
  <c r="C152" i="12"/>
  <c r="Q152" i="12"/>
  <c r="R152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85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949" i="12"/>
  <c r="C747" i="12"/>
  <c r="C748" i="12"/>
  <c r="C749" i="12"/>
  <c r="C750" i="12"/>
  <c r="C751" i="12"/>
  <c r="C752" i="12"/>
  <c r="C753" i="12"/>
  <c r="C754" i="12"/>
  <c r="C755" i="12"/>
  <c r="C756" i="12"/>
  <c r="C757" i="12"/>
  <c r="C950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968" i="12"/>
  <c r="C777" i="12"/>
  <c r="C778" i="12"/>
  <c r="C779" i="12"/>
  <c r="C780" i="12"/>
  <c r="C901" i="12"/>
  <c r="C782" i="12"/>
  <c r="C783" i="12"/>
  <c r="C784" i="12"/>
  <c r="C787" i="12"/>
  <c r="C822" i="12"/>
  <c r="C972" i="12"/>
  <c r="C788" i="12"/>
  <c r="C789" i="12"/>
  <c r="C790" i="12"/>
  <c r="C791" i="12"/>
  <c r="C870" i="12"/>
  <c r="C882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87" i="12"/>
  <c r="C874" i="12"/>
  <c r="C875" i="12"/>
  <c r="C905" i="12"/>
  <c r="C869" i="12"/>
  <c r="C823" i="12"/>
  <c r="C824" i="12"/>
  <c r="C825" i="12"/>
  <c r="C826" i="12"/>
  <c r="C843" i="12"/>
  <c r="C868" i="12"/>
  <c r="C758" i="12"/>
  <c r="C746" i="12"/>
  <c r="C820" i="12"/>
  <c r="C793" i="12"/>
  <c r="C833" i="12"/>
  <c r="C834" i="12"/>
  <c r="C835" i="12"/>
  <c r="C836" i="12"/>
  <c r="C837" i="12"/>
  <c r="C900" i="12"/>
  <c r="C841" i="12"/>
  <c r="C958" i="12"/>
  <c r="C959" i="12"/>
  <c r="C830" i="12"/>
  <c r="C832" i="12"/>
  <c r="C844" i="12"/>
  <c r="C845" i="12"/>
  <c r="C846" i="12"/>
  <c r="C847" i="12"/>
  <c r="C945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907" i="12"/>
  <c r="C915" i="12"/>
  <c r="C937" i="12"/>
  <c r="C871" i="12"/>
  <c r="C872" i="12"/>
  <c r="C873" i="12"/>
  <c r="C821" i="12"/>
  <c r="C828" i="12"/>
  <c r="C876" i="12"/>
  <c r="C877" i="12"/>
  <c r="C878" i="12"/>
  <c r="C879" i="12"/>
  <c r="C880" i="12"/>
  <c r="C881" i="12"/>
  <c r="C897" i="12"/>
  <c r="C883" i="12"/>
  <c r="C884" i="12"/>
  <c r="C885" i="12"/>
  <c r="C886" i="12"/>
  <c r="C831" i="12"/>
  <c r="C838" i="12"/>
  <c r="C889" i="12"/>
  <c r="C890" i="12"/>
  <c r="C891" i="12"/>
  <c r="C892" i="12"/>
  <c r="C893" i="12"/>
  <c r="C894" i="12"/>
  <c r="C895" i="12"/>
  <c r="C896" i="12"/>
  <c r="C842" i="12"/>
  <c r="C888" i="12"/>
  <c r="C948" i="12"/>
  <c r="C899" i="12"/>
  <c r="C840" i="12"/>
  <c r="C902" i="12"/>
  <c r="C903" i="12"/>
  <c r="C904" i="12"/>
  <c r="C722" i="12"/>
  <c r="C898" i="12"/>
  <c r="C839" i="12"/>
  <c r="C908" i="12"/>
  <c r="C909" i="12"/>
  <c r="C910" i="12"/>
  <c r="C911" i="12"/>
  <c r="C912" i="12"/>
  <c r="C913" i="12"/>
  <c r="C914" i="12"/>
  <c r="C829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9" i="12"/>
  <c r="C938" i="12"/>
  <c r="C848" i="12"/>
  <c r="C940" i="12"/>
  <c r="C941" i="12"/>
  <c r="C942" i="12"/>
  <c r="C943" i="12"/>
  <c r="C944" i="12"/>
  <c r="C953" i="12"/>
  <c r="C946" i="12"/>
  <c r="C947" i="12"/>
  <c r="C786" i="12"/>
  <c r="C827" i="12"/>
  <c r="C781" i="12"/>
  <c r="C951" i="12"/>
  <c r="C952" i="12"/>
  <c r="C819" i="12"/>
  <c r="C954" i="12"/>
  <c r="C955" i="12"/>
  <c r="C956" i="12"/>
  <c r="C957" i="12"/>
  <c r="C818" i="12"/>
  <c r="C776" i="12"/>
  <c r="C960" i="12"/>
  <c r="C961" i="12"/>
  <c r="C962" i="12"/>
  <c r="C963" i="12"/>
  <c r="C964" i="12"/>
  <c r="C965" i="12"/>
  <c r="C966" i="12"/>
  <c r="C967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1208" i="12"/>
  <c r="C1209" i="12"/>
  <c r="C1210" i="12"/>
  <c r="C1211" i="12"/>
  <c r="C1212" i="12"/>
  <c r="C1213" i="12"/>
  <c r="C1214" i="12"/>
  <c r="C1215" i="12"/>
  <c r="C1216" i="12"/>
  <c r="C1217" i="12"/>
  <c r="C1218" i="12"/>
  <c r="C1219" i="12"/>
  <c r="C1220" i="12"/>
  <c r="C1221" i="12"/>
  <c r="C1222" i="12"/>
  <c r="C1223" i="12"/>
  <c r="C1224" i="12"/>
  <c r="C1225" i="12"/>
  <c r="C1226" i="12"/>
  <c r="C1227" i="12"/>
  <c r="C1228" i="12"/>
  <c r="C1229" i="12"/>
  <c r="C1230" i="12"/>
  <c r="C1231" i="12"/>
  <c r="C1232" i="12"/>
  <c r="C1233" i="12"/>
  <c r="C1234" i="12"/>
  <c r="C1235" i="12"/>
  <c r="C1236" i="12"/>
  <c r="C1237" i="12"/>
  <c r="C1238" i="12"/>
  <c r="C1239" i="12"/>
  <c r="C1240" i="12"/>
  <c r="C1241" i="12"/>
  <c r="C1242" i="12"/>
  <c r="C1243" i="12"/>
  <c r="C1244" i="12"/>
  <c r="C1245" i="12"/>
  <c r="C1246" i="12"/>
  <c r="C1247" i="12"/>
  <c r="C1248" i="12"/>
  <c r="C1249" i="12"/>
  <c r="C1250" i="12"/>
  <c r="C1251" i="12"/>
  <c r="C1252" i="12"/>
  <c r="C1253" i="12"/>
  <c r="C1254" i="12"/>
  <c r="C1255" i="12"/>
  <c r="C1256" i="12"/>
  <c r="C1257" i="12"/>
  <c r="C1258" i="12"/>
  <c r="C1267" i="12"/>
  <c r="C1268" i="12"/>
  <c r="C1269" i="12"/>
  <c r="C1270" i="12"/>
  <c r="C1271" i="12"/>
  <c r="C1272" i="12"/>
  <c r="C1273" i="12"/>
  <c r="C1274" i="12"/>
  <c r="C1275" i="12"/>
  <c r="C1276" i="12"/>
  <c r="C1277" i="12"/>
  <c r="C1278" i="12"/>
  <c r="C1279" i="12"/>
  <c r="C1280" i="12"/>
  <c r="C1281" i="12"/>
  <c r="C1282" i="12"/>
  <c r="C1283" i="12"/>
  <c r="C1284" i="12"/>
  <c r="C1285" i="12"/>
  <c r="C1286" i="12"/>
  <c r="C1287" i="12"/>
  <c r="C1288" i="12"/>
  <c r="C1289" i="12"/>
  <c r="C1290" i="12"/>
  <c r="C1291" i="12"/>
  <c r="C1292" i="12"/>
  <c r="C1293" i="12"/>
  <c r="C1294" i="12"/>
  <c r="C1295" i="12"/>
  <c r="C1296" i="12"/>
  <c r="C1297" i="12"/>
  <c r="C1298" i="12"/>
  <c r="Q967" i="12"/>
  <c r="R967" i="12"/>
  <c r="Q458" i="12"/>
  <c r="R458" i="12"/>
  <c r="G709" i="3"/>
  <c r="C709" i="3"/>
  <c r="S709" i="3"/>
  <c r="T709" i="3"/>
  <c r="F708" i="3"/>
  <c r="G708" i="3" s="1"/>
  <c r="C708" i="3"/>
  <c r="O708" i="3"/>
  <c r="Q708" i="3" s="1"/>
  <c r="S708" i="3"/>
  <c r="T708" i="3"/>
  <c r="Q457" i="12"/>
  <c r="R457" i="12"/>
  <c r="Q452" i="12"/>
  <c r="R452" i="12"/>
  <c r="Q453" i="12"/>
  <c r="R453" i="12"/>
  <c r="Q454" i="12"/>
  <c r="R454" i="12"/>
  <c r="Q455" i="12"/>
  <c r="R455" i="12"/>
  <c r="Q456" i="12"/>
  <c r="R456" i="12"/>
  <c r="Q451" i="12"/>
  <c r="R451" i="12"/>
  <c r="F707" i="3"/>
  <c r="G707" i="3" s="1"/>
  <c r="C707" i="3"/>
  <c r="O707" i="3"/>
  <c r="Q707" i="3" s="1"/>
  <c r="S707" i="3"/>
  <c r="T707" i="3"/>
  <c r="Q1298" i="12"/>
  <c r="R1298" i="12"/>
  <c r="G727" i="3"/>
  <c r="F704" i="3"/>
  <c r="G704" i="3" s="1"/>
  <c r="C704" i="3"/>
  <c r="O704" i="3"/>
  <c r="R704" i="3" s="1"/>
  <c r="S704" i="3"/>
  <c r="T704" i="3"/>
  <c r="F703" i="3"/>
  <c r="G703" i="3" s="1"/>
  <c r="C703" i="3"/>
  <c r="O703" i="3"/>
  <c r="Q703" i="3" s="1"/>
  <c r="S703" i="3"/>
  <c r="T703" i="3"/>
  <c r="G702" i="3"/>
  <c r="C702" i="3"/>
  <c r="S702" i="3"/>
  <c r="T702" i="3"/>
  <c r="C727" i="3"/>
  <c r="S727" i="3"/>
  <c r="T727" i="3"/>
  <c r="O705" i="3"/>
  <c r="Q705" i="3" s="1"/>
  <c r="C705" i="3"/>
  <c r="S705" i="3"/>
  <c r="T705" i="3"/>
  <c r="H75" i="9"/>
  <c r="G661" i="3"/>
  <c r="F660" i="3"/>
  <c r="G660" i="3" s="1"/>
  <c r="G659" i="3"/>
  <c r="F663" i="3"/>
  <c r="G663" i="3" s="1"/>
  <c r="F684" i="3"/>
  <c r="G684" i="3" s="1"/>
  <c r="F686" i="3"/>
  <c r="G686" i="3" s="1"/>
  <c r="F687" i="3"/>
  <c r="G687" i="3" s="1"/>
  <c r="F688" i="3"/>
  <c r="G688" i="3" s="1"/>
  <c r="F689" i="3"/>
  <c r="G689" i="3" s="1"/>
  <c r="F695" i="3"/>
  <c r="G695" i="3" s="1"/>
  <c r="G698" i="3"/>
  <c r="F651" i="3"/>
  <c r="G651" i="3" s="1"/>
  <c r="C698" i="3"/>
  <c r="S698" i="3"/>
  <c r="T698" i="3"/>
  <c r="C695" i="3"/>
  <c r="O695" i="3"/>
  <c r="Q695" i="3" s="1"/>
  <c r="S695" i="3"/>
  <c r="T695" i="3"/>
  <c r="C689" i="3"/>
  <c r="O689" i="3"/>
  <c r="Q689" i="3" s="1"/>
  <c r="S689" i="3"/>
  <c r="T689" i="3"/>
  <c r="C688" i="3"/>
  <c r="O688" i="3"/>
  <c r="Q688" i="3" s="1"/>
  <c r="S688" i="3"/>
  <c r="T688" i="3"/>
  <c r="C687" i="3"/>
  <c r="O687" i="3"/>
  <c r="R687" i="3" s="1"/>
  <c r="S687" i="3"/>
  <c r="T687" i="3"/>
  <c r="C686" i="3"/>
  <c r="O686" i="3"/>
  <c r="Q686" i="3" s="1"/>
  <c r="S686" i="3"/>
  <c r="T686" i="3"/>
  <c r="C684" i="3"/>
  <c r="O684" i="3"/>
  <c r="Q684" i="3" s="1"/>
  <c r="S684" i="3"/>
  <c r="T684" i="3"/>
  <c r="C663" i="3"/>
  <c r="O663" i="3"/>
  <c r="Q663" i="3" s="1"/>
  <c r="S663" i="3"/>
  <c r="T663" i="3"/>
  <c r="C659" i="3"/>
  <c r="O659" i="3"/>
  <c r="Q659" i="3" s="1"/>
  <c r="S659" i="3"/>
  <c r="T659" i="3"/>
  <c r="C660" i="3"/>
  <c r="O660" i="3"/>
  <c r="Q660" i="3" s="1"/>
  <c r="S660" i="3"/>
  <c r="T660" i="3"/>
  <c r="C661" i="3"/>
  <c r="O661" i="3"/>
  <c r="Q661" i="3" s="1"/>
  <c r="S661" i="3"/>
  <c r="T661" i="3"/>
  <c r="C651" i="3"/>
  <c r="O651" i="3"/>
  <c r="Q651" i="3" s="1"/>
  <c r="S651" i="3"/>
  <c r="T651" i="3"/>
  <c r="O702" i="3" l="1"/>
  <c r="R702" i="3" s="1"/>
  <c r="O698" i="3"/>
  <c r="Q698" i="3" s="1"/>
  <c r="O724" i="3"/>
  <c r="Q724" i="3" s="1"/>
  <c r="O727" i="3"/>
  <c r="Q727" i="3" s="1"/>
  <c r="R722" i="3"/>
  <c r="R721" i="3"/>
  <c r="R720" i="3"/>
  <c r="R723" i="3"/>
  <c r="R719" i="3"/>
  <c r="Q718" i="3"/>
  <c r="O709" i="3"/>
  <c r="Q709" i="3" s="1"/>
  <c r="R715" i="3"/>
  <c r="R714" i="3"/>
  <c r="R717" i="3"/>
  <c r="R712" i="3"/>
  <c r="R713" i="3"/>
  <c r="R711" i="3"/>
  <c r="R710" i="3"/>
  <c r="R716" i="3"/>
  <c r="Q704" i="3"/>
  <c r="R708" i="3"/>
  <c r="R707" i="3"/>
  <c r="R703" i="3"/>
  <c r="G705" i="3"/>
  <c r="R705" i="3"/>
  <c r="R695" i="3"/>
  <c r="R689" i="3"/>
  <c r="R688" i="3"/>
  <c r="Q687" i="3"/>
  <c r="R686" i="3"/>
  <c r="R684" i="3"/>
  <c r="R663" i="3"/>
  <c r="R659" i="3"/>
  <c r="R660" i="3"/>
  <c r="R661" i="3"/>
  <c r="R651" i="3"/>
  <c r="Q702" i="3" l="1"/>
  <c r="R698" i="3"/>
  <c r="R724" i="3"/>
  <c r="R727" i="3"/>
  <c r="R709" i="3"/>
  <c r="H74" i="9"/>
  <c r="Q1297" i="12"/>
  <c r="R1297" i="12"/>
  <c r="C706" i="3"/>
  <c r="G706" i="3"/>
  <c r="O706" i="3"/>
  <c r="Q706" i="3" s="1"/>
  <c r="S706" i="3"/>
  <c r="T706" i="3"/>
  <c r="Q1296" i="12"/>
  <c r="R1296" i="12"/>
  <c r="Q1295" i="12"/>
  <c r="R1295" i="12"/>
  <c r="Q1294" i="12"/>
  <c r="R1294" i="12"/>
  <c r="Q1293" i="12"/>
  <c r="R1293" i="12"/>
  <c r="G701" i="3"/>
  <c r="C701" i="3"/>
  <c r="S701" i="3"/>
  <c r="T701" i="3"/>
  <c r="F700" i="3"/>
  <c r="G700" i="3" s="1"/>
  <c r="C700" i="3"/>
  <c r="O700" i="3"/>
  <c r="Q700" i="3" s="1"/>
  <c r="S700" i="3"/>
  <c r="T700" i="3"/>
  <c r="G699" i="3"/>
  <c r="C699" i="3"/>
  <c r="S699" i="3"/>
  <c r="T699" i="3"/>
  <c r="E1233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2" i="12"/>
  <c r="E1226" i="12"/>
  <c r="E1227" i="12"/>
  <c r="E1228" i="12"/>
  <c r="E1230" i="12"/>
  <c r="E1231" i="12"/>
  <c r="E1232" i="12"/>
  <c r="Q1202" i="12"/>
  <c r="R1202" i="12"/>
  <c r="Q1203" i="12"/>
  <c r="R1203" i="12"/>
  <c r="Q1204" i="12"/>
  <c r="R1204" i="12"/>
  <c r="Q1205" i="12"/>
  <c r="R1205" i="12"/>
  <c r="Q1206" i="12"/>
  <c r="R1206" i="12"/>
  <c r="Q1207" i="12"/>
  <c r="R1207" i="12"/>
  <c r="Q1208" i="12"/>
  <c r="R1208" i="12"/>
  <c r="Q1209" i="12"/>
  <c r="R1209" i="12"/>
  <c r="Q1210" i="12"/>
  <c r="R1210" i="12"/>
  <c r="Q1211" i="12"/>
  <c r="R1211" i="12"/>
  <c r="Q1212" i="12"/>
  <c r="R1212" i="12"/>
  <c r="Q1213" i="12"/>
  <c r="R1213" i="12"/>
  <c r="Q1214" i="12"/>
  <c r="R1214" i="12"/>
  <c r="Q1215" i="12"/>
  <c r="R1215" i="12"/>
  <c r="Q1216" i="12"/>
  <c r="R1216" i="12"/>
  <c r="Q1217" i="12"/>
  <c r="R1217" i="12"/>
  <c r="Q1218" i="12"/>
  <c r="R1218" i="12"/>
  <c r="Q1219" i="12"/>
  <c r="R1219" i="12"/>
  <c r="Q1220" i="12"/>
  <c r="R1220" i="12"/>
  <c r="Q1221" i="12"/>
  <c r="R1221" i="12"/>
  <c r="Q1222" i="12"/>
  <c r="R1222" i="12"/>
  <c r="Q1223" i="12"/>
  <c r="R1223" i="12"/>
  <c r="Q1224" i="12"/>
  <c r="R1224" i="12"/>
  <c r="Q1225" i="12"/>
  <c r="R1225" i="12"/>
  <c r="Q1226" i="12"/>
  <c r="R1226" i="12"/>
  <c r="Q1227" i="12"/>
  <c r="R1227" i="12"/>
  <c r="Q1228" i="12"/>
  <c r="R1228" i="12"/>
  <c r="Q1229" i="12"/>
  <c r="R1229" i="12"/>
  <c r="Q1230" i="12"/>
  <c r="R1230" i="12"/>
  <c r="Q1231" i="12"/>
  <c r="R1231" i="12"/>
  <c r="Q1232" i="12"/>
  <c r="R1232" i="12"/>
  <c r="Q1233" i="12"/>
  <c r="R1233" i="12"/>
  <c r="G639" i="3"/>
  <c r="C639" i="3"/>
  <c r="S639" i="3"/>
  <c r="T639" i="3"/>
  <c r="C693" i="3"/>
  <c r="G693" i="3"/>
  <c r="O693" i="3"/>
  <c r="R693" i="3" s="1"/>
  <c r="S693" i="3"/>
  <c r="T693" i="3"/>
  <c r="C694" i="3"/>
  <c r="G694" i="3"/>
  <c r="O694" i="3"/>
  <c r="Q694" i="3" s="1"/>
  <c r="S694" i="3"/>
  <c r="T694" i="3"/>
  <c r="F629" i="3"/>
  <c r="Q1292" i="12"/>
  <c r="R1292" i="12"/>
  <c r="F697" i="3"/>
  <c r="G697" i="3" s="1"/>
  <c r="C697" i="3"/>
  <c r="O697" i="3"/>
  <c r="Q697" i="3" s="1"/>
  <c r="S697" i="3"/>
  <c r="T697" i="3"/>
  <c r="C9" i="3"/>
  <c r="G9" i="3"/>
  <c r="O9" i="3"/>
  <c r="Q9" i="3" s="1"/>
  <c r="S9" i="3"/>
  <c r="T9" i="3"/>
  <c r="C19" i="3"/>
  <c r="G19" i="3"/>
  <c r="O19" i="3"/>
  <c r="Q19" i="3" s="1"/>
  <c r="S19" i="3"/>
  <c r="T19" i="3"/>
  <c r="Q450" i="12"/>
  <c r="R450" i="12"/>
  <c r="E964" i="12"/>
  <c r="E963" i="12"/>
  <c r="E962" i="12"/>
  <c r="E961" i="12"/>
  <c r="E960" i="12"/>
  <c r="Q966" i="12"/>
  <c r="R966" i="12"/>
  <c r="F692" i="3"/>
  <c r="G692" i="3" s="1"/>
  <c r="C692" i="3"/>
  <c r="O692" i="3"/>
  <c r="Q692" i="3" s="1"/>
  <c r="S692" i="3"/>
  <c r="T692" i="3"/>
  <c r="Q449" i="12"/>
  <c r="R449" i="12"/>
  <c r="F696" i="3"/>
  <c r="G696" i="3" s="1"/>
  <c r="C696" i="3"/>
  <c r="O696" i="3"/>
  <c r="Q696" i="3" s="1"/>
  <c r="S696" i="3"/>
  <c r="T696" i="3"/>
  <c r="Q965" i="12"/>
  <c r="R965" i="12"/>
  <c r="F691" i="3"/>
  <c r="G691" i="3" s="1"/>
  <c r="C691" i="3"/>
  <c r="O691" i="3"/>
  <c r="Q691" i="3" s="1"/>
  <c r="S691" i="3"/>
  <c r="T691" i="3"/>
  <c r="O699" i="3" l="1"/>
  <c r="Q699" i="3" s="1"/>
  <c r="O701" i="3"/>
  <c r="Q701" i="3" s="1"/>
  <c r="R706" i="3"/>
  <c r="R700" i="3"/>
  <c r="R694" i="3"/>
  <c r="O639" i="3"/>
  <c r="Q639" i="3" s="1"/>
  <c r="Q693" i="3"/>
  <c r="R697" i="3"/>
  <c r="R9" i="3"/>
  <c r="R19" i="3"/>
  <c r="R692" i="3"/>
  <c r="R696" i="3"/>
  <c r="R691" i="3"/>
  <c r="Q448" i="12"/>
  <c r="R448" i="12"/>
  <c r="C685" i="3"/>
  <c r="G685" i="3"/>
  <c r="O685" i="3"/>
  <c r="Q685" i="3" s="1"/>
  <c r="S685" i="3"/>
  <c r="T685" i="3"/>
  <c r="Q1291" i="12"/>
  <c r="R1291" i="12"/>
  <c r="F683" i="3"/>
  <c r="G683" i="3" s="1"/>
  <c r="C683" i="3"/>
  <c r="O683" i="3"/>
  <c r="R683" i="3" s="1"/>
  <c r="S683" i="3"/>
  <c r="T683" i="3"/>
  <c r="R699" i="3" l="1"/>
  <c r="R701" i="3"/>
  <c r="R639" i="3"/>
  <c r="R685" i="3"/>
  <c r="Q683" i="3"/>
  <c r="C690" i="3"/>
  <c r="G690" i="3"/>
  <c r="O690" i="3"/>
  <c r="Q690" i="3" s="1"/>
  <c r="S690" i="3"/>
  <c r="T690" i="3"/>
  <c r="Q960" i="12"/>
  <c r="R960" i="12"/>
  <c r="Q961" i="12"/>
  <c r="R961" i="12"/>
  <c r="Q962" i="12"/>
  <c r="R962" i="12"/>
  <c r="Q963" i="12"/>
  <c r="R963" i="12"/>
  <c r="Q964" i="12"/>
  <c r="R96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9" i="12"/>
  <c r="E938" i="12"/>
  <c r="E848" i="12"/>
  <c r="E940" i="12"/>
  <c r="E941" i="12"/>
  <c r="E942" i="12"/>
  <c r="E943" i="12"/>
  <c r="E944" i="12"/>
  <c r="E953" i="12"/>
  <c r="E946" i="12"/>
  <c r="E947" i="12"/>
  <c r="E786" i="12"/>
  <c r="E827" i="12"/>
  <c r="E781" i="12"/>
  <c r="E951" i="12"/>
  <c r="E952" i="12"/>
  <c r="E819" i="12"/>
  <c r="E442" i="12"/>
  <c r="E445" i="12"/>
  <c r="E954" i="12"/>
  <c r="E955" i="12"/>
  <c r="E956" i="12"/>
  <c r="E957" i="12"/>
  <c r="E818" i="12"/>
  <c r="E776" i="12"/>
  <c r="Q447" i="12"/>
  <c r="R447" i="12"/>
  <c r="F682" i="3"/>
  <c r="G682" i="3" s="1"/>
  <c r="C682" i="3"/>
  <c r="O682" i="3"/>
  <c r="R682" i="3" s="1"/>
  <c r="S682" i="3"/>
  <c r="T682" i="3"/>
  <c r="Q1289" i="12"/>
  <c r="R1289" i="12"/>
  <c r="F680" i="3"/>
  <c r="G680" i="3" s="1"/>
  <c r="C680" i="3"/>
  <c r="O680" i="3"/>
  <c r="Q680" i="3" s="1"/>
  <c r="S680" i="3"/>
  <c r="T680" i="3"/>
  <c r="H73" i="9"/>
  <c r="Q1288" i="12"/>
  <c r="R1288" i="12"/>
  <c r="Q818" i="12"/>
  <c r="R818" i="12"/>
  <c r="Q776" i="12"/>
  <c r="R776" i="12"/>
  <c r="F679" i="3"/>
  <c r="G679" i="3" s="1"/>
  <c r="C679" i="3"/>
  <c r="O679" i="3"/>
  <c r="Q679" i="3" s="1"/>
  <c r="S679" i="3"/>
  <c r="T679" i="3"/>
  <c r="F678" i="3"/>
  <c r="G678" i="3" s="1"/>
  <c r="C678" i="3"/>
  <c r="O678" i="3"/>
  <c r="Q678" i="3" s="1"/>
  <c r="S678" i="3"/>
  <c r="T678" i="3"/>
  <c r="H72" i="9"/>
  <c r="H71" i="9"/>
  <c r="Q957" i="12"/>
  <c r="R957" i="12"/>
  <c r="F677" i="3"/>
  <c r="G677" i="3" s="1"/>
  <c r="C677" i="3"/>
  <c r="O677" i="3"/>
  <c r="Q677" i="3" s="1"/>
  <c r="S677" i="3"/>
  <c r="T677" i="3"/>
  <c r="Q1287" i="12"/>
  <c r="R1287" i="12"/>
  <c r="E1286" i="12"/>
  <c r="E1285" i="12"/>
  <c r="E1284" i="12"/>
  <c r="E1258" i="12"/>
  <c r="E1243" i="12"/>
  <c r="Q1286" i="12"/>
  <c r="R1286" i="12"/>
  <c r="F676" i="3"/>
  <c r="G676" i="3" s="1"/>
  <c r="C676" i="3"/>
  <c r="O676" i="3"/>
  <c r="Q676" i="3" s="1"/>
  <c r="S676" i="3"/>
  <c r="T676" i="3"/>
  <c r="F675" i="3"/>
  <c r="G675" i="3" s="1"/>
  <c r="C675" i="3"/>
  <c r="O675" i="3"/>
  <c r="Q675" i="3" s="1"/>
  <c r="S675" i="3"/>
  <c r="T675" i="3"/>
  <c r="Q956" i="12"/>
  <c r="R956" i="12"/>
  <c r="F674" i="3"/>
  <c r="G674" i="3" s="1"/>
  <c r="C674" i="3"/>
  <c r="O674" i="3"/>
  <c r="Q674" i="3" s="1"/>
  <c r="S674" i="3"/>
  <c r="T674" i="3"/>
  <c r="R690" i="3" l="1"/>
  <c r="Q682" i="3"/>
  <c r="R680" i="3"/>
  <c r="R679" i="3"/>
  <c r="R678" i="3"/>
  <c r="R677" i="3"/>
  <c r="R676" i="3"/>
  <c r="R675" i="3"/>
  <c r="R674" i="3"/>
  <c r="C649" i="3"/>
  <c r="G649" i="3"/>
  <c r="O649" i="3"/>
  <c r="Q649" i="3" s="1"/>
  <c r="S649" i="3"/>
  <c r="T649" i="3"/>
  <c r="Q151" i="12"/>
  <c r="R151" i="12"/>
  <c r="F672" i="3"/>
  <c r="G672" i="3" s="1"/>
  <c r="C672" i="3"/>
  <c r="O672" i="3"/>
  <c r="Q672" i="3" s="1"/>
  <c r="S672" i="3"/>
  <c r="T672" i="3"/>
  <c r="R649" i="3" l="1"/>
  <c r="R672" i="3"/>
  <c r="F671" i="3" l="1"/>
  <c r="G671" i="3" s="1"/>
  <c r="C671" i="3"/>
  <c r="O671" i="3"/>
  <c r="Q671" i="3" s="1"/>
  <c r="S671" i="3"/>
  <c r="T671" i="3"/>
  <c r="Q440" i="12"/>
  <c r="R440" i="12"/>
  <c r="Q441" i="12"/>
  <c r="R441" i="12"/>
  <c r="Q954" i="12"/>
  <c r="R954" i="12"/>
  <c r="Q955" i="12"/>
  <c r="R955" i="12"/>
  <c r="F670" i="3"/>
  <c r="G670" i="3" s="1"/>
  <c r="C670" i="3"/>
  <c r="O670" i="3"/>
  <c r="Q670" i="3" s="1"/>
  <c r="S670" i="3"/>
  <c r="T670" i="3"/>
  <c r="Q1285" i="12"/>
  <c r="R1285" i="12"/>
  <c r="Q1284" i="12"/>
  <c r="R1284" i="12"/>
  <c r="F669" i="3"/>
  <c r="G669" i="3" s="1"/>
  <c r="C669" i="3"/>
  <c r="O669" i="3"/>
  <c r="Q669" i="3" s="1"/>
  <c r="S669" i="3"/>
  <c r="T669" i="3"/>
  <c r="F668" i="3"/>
  <c r="G668" i="3" s="1"/>
  <c r="C668" i="3"/>
  <c r="O668" i="3"/>
  <c r="Q668" i="3" s="1"/>
  <c r="S668" i="3"/>
  <c r="T668" i="3"/>
  <c r="Q1283" i="12"/>
  <c r="R1283" i="12"/>
  <c r="Q1282" i="12"/>
  <c r="R1282" i="12"/>
  <c r="Q1281" i="12"/>
  <c r="R1281" i="12"/>
  <c r="Q1280" i="12"/>
  <c r="R1280" i="12"/>
  <c r="Q1279" i="12"/>
  <c r="R1279" i="12"/>
  <c r="Q1278" i="12"/>
  <c r="R1278" i="12"/>
  <c r="Q1277" i="12"/>
  <c r="R1277" i="12"/>
  <c r="Q1276" i="12"/>
  <c r="R1276" i="12"/>
  <c r="Q1275" i="12"/>
  <c r="R1275" i="12"/>
  <c r="Q1274" i="12"/>
  <c r="R1274" i="12"/>
  <c r="Q1273" i="12"/>
  <c r="R1273" i="12"/>
  <c r="Q1272" i="12"/>
  <c r="R1272" i="12"/>
  <c r="Q1271" i="12"/>
  <c r="R1271" i="12"/>
  <c r="Q1270" i="12"/>
  <c r="R1270" i="12"/>
  <c r="Q1269" i="12"/>
  <c r="R1269" i="12"/>
  <c r="Q1268" i="12"/>
  <c r="R1268" i="12"/>
  <c r="Q1267" i="12"/>
  <c r="R1267" i="12"/>
  <c r="Q442" i="12"/>
  <c r="R442" i="12"/>
  <c r="Q443" i="12"/>
  <c r="R443" i="12"/>
  <c r="Q444" i="12"/>
  <c r="R444" i="12"/>
  <c r="Q445" i="12"/>
  <c r="R445" i="12"/>
  <c r="Q446" i="12"/>
  <c r="R446" i="12"/>
  <c r="G681" i="3"/>
  <c r="C681" i="3"/>
  <c r="S681" i="3"/>
  <c r="T681" i="3"/>
  <c r="H70" i="9"/>
  <c r="H69" i="9"/>
  <c r="H68" i="9"/>
  <c r="D13" i="17"/>
  <c r="E13" i="17"/>
  <c r="G13" i="17"/>
  <c r="H13" i="17"/>
  <c r="I13" i="17"/>
  <c r="D14" i="17"/>
  <c r="E14" i="17"/>
  <c r="G14" i="17"/>
  <c r="H14" i="17"/>
  <c r="D15" i="17"/>
  <c r="E15" i="17"/>
  <c r="G15" i="17"/>
  <c r="H15" i="17"/>
  <c r="D16" i="17"/>
  <c r="E16" i="17"/>
  <c r="G16" i="17"/>
  <c r="H16" i="17"/>
  <c r="D17" i="17"/>
  <c r="E17" i="17"/>
  <c r="G17" i="17"/>
  <c r="H17" i="17"/>
  <c r="Q439" i="12"/>
  <c r="R439" i="12"/>
  <c r="G664" i="3"/>
  <c r="C664" i="3"/>
  <c r="S664" i="3"/>
  <c r="T664" i="3"/>
  <c r="Q1258" i="12"/>
  <c r="R1258" i="12"/>
  <c r="Q150" i="12"/>
  <c r="R150" i="12"/>
  <c r="G666" i="3"/>
  <c r="C666" i="3"/>
  <c r="O666" i="3"/>
  <c r="Q666" i="3" s="1"/>
  <c r="S666" i="3"/>
  <c r="T666" i="3"/>
  <c r="G667" i="3"/>
  <c r="C667" i="3"/>
  <c r="O667" i="3"/>
  <c r="Q667" i="3" s="1"/>
  <c r="S667" i="3"/>
  <c r="T667" i="3"/>
  <c r="C492" i="3"/>
  <c r="G492" i="3"/>
  <c r="O492" i="3"/>
  <c r="Q492" i="3" s="1"/>
  <c r="S492" i="3"/>
  <c r="T492" i="3"/>
  <c r="Q1257" i="12"/>
  <c r="R1257" i="12"/>
  <c r="Q1256" i="12"/>
  <c r="R1256" i="12"/>
  <c r="Q1255" i="12"/>
  <c r="R1255" i="12"/>
  <c r="Q1254" i="12"/>
  <c r="R1254" i="12"/>
  <c r="Q1253" i="12"/>
  <c r="R1253" i="12"/>
  <c r="Q1252" i="12"/>
  <c r="R1252" i="12"/>
  <c r="Q1251" i="12"/>
  <c r="R1251" i="12"/>
  <c r="F662" i="3"/>
  <c r="G662" i="3" s="1"/>
  <c r="C662" i="3"/>
  <c r="O662" i="3"/>
  <c r="Q662" i="3" s="1"/>
  <c r="S662" i="3"/>
  <c r="T662" i="3"/>
  <c r="G665" i="3"/>
  <c r="C665" i="3"/>
  <c r="O665" i="3"/>
  <c r="Q665" i="3" s="1"/>
  <c r="S665" i="3"/>
  <c r="T665" i="3"/>
  <c r="O664" i="3" l="1"/>
  <c r="Q664" i="3" s="1"/>
  <c r="I14" i="17"/>
  <c r="O681" i="3"/>
  <c r="Q681" i="3" s="1"/>
  <c r="R671" i="3"/>
  <c r="R670" i="3"/>
  <c r="R669" i="3"/>
  <c r="R668" i="3"/>
  <c r="E18" i="17"/>
  <c r="H18" i="17"/>
  <c r="G18" i="17"/>
  <c r="D18" i="17"/>
  <c r="R666" i="3"/>
  <c r="R667" i="3"/>
  <c r="R492" i="3"/>
  <c r="R662" i="3"/>
  <c r="R665" i="3"/>
  <c r="H67" i="9"/>
  <c r="H66" i="9"/>
  <c r="Q819" i="12"/>
  <c r="R819" i="12"/>
  <c r="F655" i="3"/>
  <c r="G655" i="3" s="1"/>
  <c r="C655" i="3"/>
  <c r="O655" i="3"/>
  <c r="Q655" i="3" s="1"/>
  <c r="S655" i="3"/>
  <c r="T655" i="3"/>
  <c r="Q952" i="12"/>
  <c r="R952" i="12"/>
  <c r="F654" i="3"/>
  <c r="G654" i="3" s="1"/>
  <c r="C654" i="3"/>
  <c r="O654" i="3"/>
  <c r="Q654" i="3" s="1"/>
  <c r="S654" i="3"/>
  <c r="T654" i="3"/>
  <c r="Q951" i="12"/>
  <c r="R951" i="12"/>
  <c r="F653" i="3"/>
  <c r="G653" i="3" s="1"/>
  <c r="C653" i="3"/>
  <c r="O653" i="3"/>
  <c r="Q653" i="3" s="1"/>
  <c r="S653" i="3"/>
  <c r="T653" i="3"/>
  <c r="Q1250" i="12"/>
  <c r="R1250" i="12"/>
  <c r="Q1249" i="12"/>
  <c r="R1249" i="12"/>
  <c r="Q1248" i="12"/>
  <c r="R1248" i="12"/>
  <c r="F652" i="3"/>
  <c r="G652" i="3" s="1"/>
  <c r="C652" i="3"/>
  <c r="O652" i="3"/>
  <c r="Q652" i="3" s="1"/>
  <c r="S652" i="3"/>
  <c r="T652" i="3"/>
  <c r="Q1247" i="12"/>
  <c r="R1247" i="12"/>
  <c r="Q1246" i="12"/>
  <c r="R1246" i="12"/>
  <c r="Q1245" i="12"/>
  <c r="R1245" i="12"/>
  <c r="F650" i="3"/>
  <c r="G650" i="3" s="1"/>
  <c r="C650" i="3"/>
  <c r="O650" i="3"/>
  <c r="Q650" i="3" s="1"/>
  <c r="S650" i="3"/>
  <c r="T650" i="3"/>
  <c r="Q786" i="12"/>
  <c r="R786" i="12"/>
  <c r="Q827" i="12"/>
  <c r="R827" i="12"/>
  <c r="Q781" i="12"/>
  <c r="R781" i="12"/>
  <c r="F648" i="3"/>
  <c r="G648" i="3" s="1"/>
  <c r="C648" i="3"/>
  <c r="O648" i="3"/>
  <c r="R648" i="3" s="1"/>
  <c r="S648" i="3"/>
  <c r="T648" i="3"/>
  <c r="Q149" i="12"/>
  <c r="R149" i="12"/>
  <c r="Q1244" i="12"/>
  <c r="R1244" i="12"/>
  <c r="F647" i="3"/>
  <c r="G647" i="3" s="1"/>
  <c r="C647" i="3"/>
  <c r="O647" i="3"/>
  <c r="Q647" i="3" s="1"/>
  <c r="S647" i="3"/>
  <c r="T647" i="3"/>
  <c r="Q1243" i="12"/>
  <c r="R1243" i="12"/>
  <c r="F646" i="3"/>
  <c r="G646" i="3" s="1"/>
  <c r="C646" i="3"/>
  <c r="O646" i="3"/>
  <c r="Q646" i="3" s="1"/>
  <c r="S646" i="3"/>
  <c r="T646" i="3"/>
  <c r="F645" i="3"/>
  <c r="G645" i="3" s="1"/>
  <c r="C645" i="3"/>
  <c r="O645" i="3"/>
  <c r="Q645" i="3" s="1"/>
  <c r="S645" i="3"/>
  <c r="T645" i="3"/>
  <c r="Q946" i="12"/>
  <c r="R946" i="12"/>
  <c r="Q947" i="12"/>
  <c r="R947" i="12"/>
  <c r="Q1242" i="12"/>
  <c r="R1242" i="12"/>
  <c r="F644" i="3"/>
  <c r="G644" i="3" s="1"/>
  <c r="C644" i="3"/>
  <c r="O644" i="3"/>
  <c r="Q644" i="3" s="1"/>
  <c r="S644" i="3"/>
  <c r="T644" i="3"/>
  <c r="Q953" i="12"/>
  <c r="R953" i="12"/>
  <c r="F643" i="3"/>
  <c r="G643" i="3" s="1"/>
  <c r="C643" i="3"/>
  <c r="O643" i="3"/>
  <c r="Q643" i="3" s="1"/>
  <c r="S643" i="3"/>
  <c r="T643" i="3"/>
  <c r="Q432" i="12"/>
  <c r="R432" i="12"/>
  <c r="Q433" i="12"/>
  <c r="R433" i="12"/>
  <c r="Q434" i="12"/>
  <c r="R434" i="12"/>
  <c r="Q435" i="12"/>
  <c r="R435" i="12"/>
  <c r="Q436" i="12"/>
  <c r="R436" i="12"/>
  <c r="Q437" i="12"/>
  <c r="R437" i="12"/>
  <c r="Q438" i="12"/>
  <c r="R438" i="12"/>
  <c r="F642" i="3"/>
  <c r="G642" i="3" s="1"/>
  <c r="C642" i="3"/>
  <c r="O642" i="3"/>
  <c r="R642" i="3" s="1"/>
  <c r="S642" i="3"/>
  <c r="T642" i="3"/>
  <c r="G657" i="3"/>
  <c r="C657" i="3"/>
  <c r="O657" i="3"/>
  <c r="Q657" i="3" s="1"/>
  <c r="S657" i="3"/>
  <c r="T657" i="3"/>
  <c r="Q148" i="12"/>
  <c r="R148" i="12"/>
  <c r="Q146" i="12"/>
  <c r="R146" i="12"/>
  <c r="Q147" i="12"/>
  <c r="R147" i="12"/>
  <c r="F656" i="3"/>
  <c r="G656" i="3" s="1"/>
  <c r="C656" i="3"/>
  <c r="O656" i="3"/>
  <c r="Q656" i="3" s="1"/>
  <c r="S656" i="3"/>
  <c r="T656" i="3"/>
  <c r="F640" i="3"/>
  <c r="G640" i="3" s="1"/>
  <c r="C640" i="3"/>
  <c r="O640" i="3"/>
  <c r="Q640" i="3" s="1"/>
  <c r="S640" i="3"/>
  <c r="T640" i="3"/>
  <c r="Q1241" i="12"/>
  <c r="R1241" i="12"/>
  <c r="Q1240" i="12"/>
  <c r="R1240" i="12"/>
  <c r="Q1239" i="12"/>
  <c r="R1239" i="12"/>
  <c r="Q1238" i="12"/>
  <c r="R1238" i="12"/>
  <c r="Q1237" i="12"/>
  <c r="R1237" i="12"/>
  <c r="Q1236" i="12"/>
  <c r="R1236" i="12"/>
  <c r="Q1235" i="12"/>
  <c r="R1235" i="12"/>
  <c r="Q1234" i="12"/>
  <c r="R1234" i="12"/>
  <c r="F641" i="3"/>
  <c r="G641" i="3" s="1"/>
  <c r="C641" i="3"/>
  <c r="O641" i="3"/>
  <c r="Q641" i="3" s="1"/>
  <c r="S641" i="3"/>
  <c r="T641" i="3"/>
  <c r="G658" i="3"/>
  <c r="C658" i="3"/>
  <c r="S658" i="3"/>
  <c r="T658" i="3"/>
  <c r="S601" i="3"/>
  <c r="T601" i="3"/>
  <c r="F608" i="3"/>
  <c r="G608" i="3" s="1"/>
  <c r="F620" i="3"/>
  <c r="G620" i="3" s="1"/>
  <c r="F619" i="3"/>
  <c r="G619" i="3" s="1"/>
  <c r="O623" i="3"/>
  <c r="R623" i="3" s="1"/>
  <c r="C620" i="3"/>
  <c r="C619" i="3"/>
  <c r="C623" i="3"/>
  <c r="O620" i="3"/>
  <c r="Q620" i="3" s="1"/>
  <c r="O619" i="3"/>
  <c r="R619" i="3" s="1"/>
  <c r="S620" i="3"/>
  <c r="S619" i="3"/>
  <c r="S623" i="3"/>
  <c r="T620" i="3"/>
  <c r="T619" i="3"/>
  <c r="T623" i="3"/>
  <c r="C608" i="3"/>
  <c r="O608" i="3"/>
  <c r="Q608" i="3" s="1"/>
  <c r="S608" i="3"/>
  <c r="T608" i="3"/>
  <c r="R664" i="3" l="1"/>
  <c r="R681" i="3"/>
  <c r="G623" i="3"/>
  <c r="R655" i="3"/>
  <c r="R654" i="3"/>
  <c r="R653" i="3"/>
  <c r="R652" i="3"/>
  <c r="R650" i="3"/>
  <c r="Q648" i="3"/>
  <c r="R647" i="3"/>
  <c r="R646" i="3"/>
  <c r="R645" i="3"/>
  <c r="R644" i="3"/>
  <c r="R643" i="3"/>
  <c r="Q642" i="3"/>
  <c r="R657" i="3"/>
  <c r="R656" i="3"/>
  <c r="R640" i="3"/>
  <c r="R641" i="3"/>
  <c r="O658" i="3"/>
  <c r="Q658" i="3" s="1"/>
  <c r="R620" i="3"/>
  <c r="Q623" i="3"/>
  <c r="Q619" i="3"/>
  <c r="R608" i="3"/>
  <c r="R658" i="3" l="1"/>
  <c r="Q944" i="12"/>
  <c r="R944" i="12"/>
  <c r="F638" i="3"/>
  <c r="G638" i="3" s="1"/>
  <c r="C638" i="3"/>
  <c r="O638" i="3"/>
  <c r="Q638" i="3" s="1"/>
  <c r="S638" i="3"/>
  <c r="T638" i="3"/>
  <c r="Q941" i="12"/>
  <c r="R941" i="12"/>
  <c r="Q942" i="12"/>
  <c r="R942" i="12"/>
  <c r="Q943" i="12"/>
  <c r="R943" i="12"/>
  <c r="Q431" i="12"/>
  <c r="R431" i="12"/>
  <c r="F637" i="3"/>
  <c r="G637" i="3" s="1"/>
  <c r="C637" i="3"/>
  <c r="O637" i="3"/>
  <c r="Q637" i="3" s="1"/>
  <c r="S637" i="3"/>
  <c r="T637" i="3"/>
  <c r="Q940" i="12"/>
  <c r="R940" i="12"/>
  <c r="F636" i="3"/>
  <c r="G636" i="3" s="1"/>
  <c r="C636" i="3"/>
  <c r="O636" i="3"/>
  <c r="Q636" i="3" s="1"/>
  <c r="S636" i="3"/>
  <c r="T636" i="3"/>
  <c r="Q430" i="12"/>
  <c r="R430" i="12"/>
  <c r="F635" i="3"/>
  <c r="G635" i="3" s="1"/>
  <c r="C635" i="3"/>
  <c r="O635" i="3"/>
  <c r="Q635" i="3" s="1"/>
  <c r="S635" i="3"/>
  <c r="T635" i="3"/>
  <c r="H58" i="9"/>
  <c r="H65" i="9"/>
  <c r="Q429" i="12"/>
  <c r="R429" i="12"/>
  <c r="Q939" i="12"/>
  <c r="R939" i="12"/>
  <c r="Q938" i="12"/>
  <c r="R938" i="12"/>
  <c r="Q848" i="12"/>
  <c r="R848" i="12"/>
  <c r="F633" i="3"/>
  <c r="G633" i="3" s="1"/>
  <c r="C633" i="3"/>
  <c r="O633" i="3"/>
  <c r="Q633" i="3" s="1"/>
  <c r="S633" i="3"/>
  <c r="T633" i="3"/>
  <c r="F634" i="3"/>
  <c r="G634" i="3" s="1"/>
  <c r="C634" i="3"/>
  <c r="O634" i="3"/>
  <c r="Q634" i="3" s="1"/>
  <c r="S634" i="3"/>
  <c r="T634" i="3"/>
  <c r="Q935" i="12"/>
  <c r="R935" i="12"/>
  <c r="Q925" i="12"/>
  <c r="R925" i="12"/>
  <c r="Q926" i="12"/>
  <c r="R926" i="12"/>
  <c r="Q927" i="12"/>
  <c r="R927" i="12"/>
  <c r="Q928" i="12"/>
  <c r="R928" i="12"/>
  <c r="Q929" i="12"/>
  <c r="R929" i="12"/>
  <c r="Q930" i="12"/>
  <c r="R930" i="12"/>
  <c r="Q931" i="12"/>
  <c r="R931" i="12"/>
  <c r="Q932" i="12"/>
  <c r="R932" i="12"/>
  <c r="Q933" i="12"/>
  <c r="R933" i="12"/>
  <c r="Q934" i="12"/>
  <c r="R934" i="12"/>
  <c r="Q936" i="12"/>
  <c r="R936" i="12"/>
  <c r="F632" i="3"/>
  <c r="G632" i="3" s="1"/>
  <c r="C632" i="3"/>
  <c r="O632" i="3"/>
  <c r="Q632" i="3" s="1"/>
  <c r="S632" i="3"/>
  <c r="T632" i="3"/>
  <c r="R638" i="3" l="1"/>
  <c r="R637" i="3"/>
  <c r="R636" i="3"/>
  <c r="R635" i="3"/>
  <c r="R633" i="3"/>
  <c r="R634" i="3"/>
  <c r="R632" i="3"/>
  <c r="H64" i="9" l="1"/>
  <c r="Q428" i="12"/>
  <c r="R428" i="12"/>
  <c r="F631" i="3"/>
  <c r="G631" i="3" s="1"/>
  <c r="C631" i="3"/>
  <c r="O631" i="3"/>
  <c r="S631" i="3"/>
  <c r="T631" i="3"/>
  <c r="Q1201" i="12"/>
  <c r="R1201" i="12"/>
  <c r="Q1200" i="12"/>
  <c r="R1200" i="12"/>
  <c r="Q1199" i="12"/>
  <c r="R1199" i="12"/>
  <c r="Q1198" i="12"/>
  <c r="R1198" i="12"/>
  <c r="F630" i="3"/>
  <c r="G630" i="3" s="1"/>
  <c r="C630" i="3"/>
  <c r="O630" i="3"/>
  <c r="S630" i="3"/>
  <c r="T630" i="3"/>
  <c r="R630" i="3" l="1"/>
  <c r="Q630" i="3"/>
  <c r="R631" i="3"/>
  <c r="Q631" i="3"/>
  <c r="Q145" i="12"/>
  <c r="R145" i="12"/>
  <c r="Q144" i="12"/>
  <c r="R144" i="12"/>
  <c r="F628" i="3"/>
  <c r="G628" i="3" s="1"/>
  <c r="C628" i="3"/>
  <c r="O628" i="3"/>
  <c r="S628" i="3"/>
  <c r="T628" i="3"/>
  <c r="Q427" i="12"/>
  <c r="R427" i="12"/>
  <c r="F627" i="3"/>
  <c r="G627" i="3" s="1"/>
  <c r="C627" i="3"/>
  <c r="O627" i="3"/>
  <c r="S627" i="3"/>
  <c r="T627" i="3"/>
  <c r="E1179" i="12"/>
  <c r="E1180" i="12"/>
  <c r="E1178" i="12"/>
  <c r="E1177" i="12"/>
  <c r="E1173" i="12"/>
  <c r="E1172" i="12"/>
  <c r="E1171" i="12"/>
  <c r="E1170" i="12"/>
  <c r="E1169" i="12"/>
  <c r="E1168" i="12"/>
  <c r="E1167" i="12"/>
  <c r="E1164" i="12"/>
  <c r="E1163" i="12"/>
  <c r="E1162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4" i="12"/>
  <c r="E1142" i="12"/>
  <c r="E1141" i="12"/>
  <c r="E1140" i="12"/>
  <c r="E1137" i="12"/>
  <c r="E1136" i="12"/>
  <c r="E1135" i="12"/>
  <c r="E1132" i="12"/>
  <c r="E1131" i="12"/>
  <c r="E1130" i="12"/>
  <c r="E1128" i="12"/>
  <c r="E1126" i="12"/>
  <c r="E1125" i="12"/>
  <c r="E1124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2" i="12"/>
  <c r="E1101" i="12"/>
  <c r="E1100" i="12"/>
  <c r="E1099" i="12"/>
  <c r="E1098" i="12"/>
  <c r="E1097" i="12"/>
  <c r="E1096" i="12"/>
  <c r="E1089" i="12"/>
  <c r="E1088" i="12"/>
  <c r="E1087" i="12"/>
  <c r="E1086" i="12"/>
  <c r="E1082" i="12"/>
  <c r="E1081" i="12"/>
  <c r="E1080" i="12"/>
  <c r="E1079" i="12"/>
  <c r="E1078" i="12"/>
  <c r="E1077" i="12"/>
  <c r="E1076" i="12"/>
  <c r="E1075" i="12"/>
  <c r="E1074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49" i="12"/>
  <c r="E1048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924" i="12"/>
  <c r="E922" i="12"/>
  <c r="E898" i="12"/>
  <c r="E839" i="12"/>
  <c r="E908" i="12"/>
  <c r="E909" i="12"/>
  <c r="E910" i="12"/>
  <c r="E911" i="12"/>
  <c r="E912" i="12"/>
  <c r="E913" i="12"/>
  <c r="E914" i="12"/>
  <c r="E829" i="12"/>
  <c r="E916" i="12"/>
  <c r="E917" i="12"/>
  <c r="E918" i="12"/>
  <c r="E919" i="12"/>
  <c r="E920" i="12"/>
  <c r="E921" i="12"/>
  <c r="E722" i="12"/>
  <c r="E840" i="12"/>
  <c r="E842" i="12"/>
  <c r="E888" i="12"/>
  <c r="E948" i="12"/>
  <c r="E899" i="12"/>
  <c r="E896" i="12"/>
  <c r="E895" i="12"/>
  <c r="E894" i="12"/>
  <c r="E893" i="12"/>
  <c r="E892" i="12"/>
  <c r="E891" i="12"/>
  <c r="E890" i="12"/>
  <c r="E889" i="12"/>
  <c r="E838" i="12"/>
  <c r="E831" i="12"/>
  <c r="E886" i="12"/>
  <c r="E883" i="12"/>
  <c r="E897" i="12"/>
  <c r="E881" i="12"/>
  <c r="E880" i="12"/>
  <c r="E879" i="12"/>
  <c r="E878" i="12"/>
  <c r="E877" i="12"/>
  <c r="E876" i="12"/>
  <c r="E828" i="12"/>
  <c r="E821" i="12"/>
  <c r="E873" i="12"/>
  <c r="E872" i="12"/>
  <c r="E937" i="12"/>
  <c r="E915" i="12"/>
  <c r="E907" i="12"/>
  <c r="E867" i="12"/>
  <c r="E866" i="12"/>
  <c r="E862" i="12"/>
  <c r="E861" i="12"/>
  <c r="E857" i="12"/>
  <c r="E856" i="12"/>
  <c r="E855" i="12"/>
  <c r="E854" i="12"/>
  <c r="E853" i="12"/>
  <c r="E852" i="12"/>
  <c r="E851" i="12"/>
  <c r="E850" i="12"/>
  <c r="E849" i="12"/>
  <c r="E945" i="12"/>
  <c r="E847" i="12"/>
  <c r="E846" i="12"/>
  <c r="E845" i="12"/>
  <c r="E844" i="12"/>
  <c r="E832" i="12"/>
  <c r="E830" i="12"/>
  <c r="E959" i="12"/>
  <c r="E958" i="12"/>
  <c r="E837" i="12"/>
  <c r="E836" i="12"/>
  <c r="E835" i="12"/>
  <c r="E834" i="12"/>
  <c r="E833" i="12"/>
  <c r="E793" i="12"/>
  <c r="E820" i="12"/>
  <c r="E746" i="12"/>
  <c r="E758" i="12"/>
  <c r="E868" i="12"/>
  <c r="E843" i="12"/>
  <c r="E826" i="12"/>
  <c r="E825" i="12"/>
  <c r="E823" i="12"/>
  <c r="E869" i="12"/>
  <c r="E905" i="12"/>
  <c r="E875" i="12"/>
  <c r="E874" i="12"/>
  <c r="E887" i="12"/>
  <c r="E817" i="12"/>
  <c r="E815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882" i="12"/>
  <c r="E870" i="12"/>
  <c r="E791" i="12"/>
  <c r="E790" i="12"/>
  <c r="E789" i="12"/>
  <c r="E788" i="12"/>
  <c r="E972" i="12"/>
  <c r="E822" i="12"/>
  <c r="E787" i="12"/>
  <c r="E784" i="12"/>
  <c r="E783" i="12"/>
  <c r="E782" i="12"/>
  <c r="E901" i="12"/>
  <c r="E780" i="12"/>
  <c r="E779" i="12"/>
  <c r="E778" i="12"/>
  <c r="E968" i="12"/>
  <c r="E775" i="12"/>
  <c r="E774" i="12"/>
  <c r="E773" i="12"/>
  <c r="E772" i="12"/>
  <c r="E771" i="12"/>
  <c r="E770" i="12"/>
  <c r="E769" i="12"/>
  <c r="E767" i="12"/>
  <c r="E766" i="12"/>
  <c r="E761" i="12"/>
  <c r="E760" i="12"/>
  <c r="E759" i="12"/>
  <c r="E950" i="12"/>
  <c r="E751" i="12"/>
  <c r="E949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85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4" i="12"/>
  <c r="E693" i="12"/>
  <c r="E692" i="12"/>
  <c r="E691" i="12"/>
  <c r="E690" i="12"/>
  <c r="E689" i="12"/>
  <c r="E687" i="12"/>
  <c r="E686" i="12"/>
  <c r="E684" i="12"/>
  <c r="E683" i="12"/>
  <c r="E681" i="12"/>
  <c r="E680" i="12"/>
  <c r="E679" i="12"/>
  <c r="E678" i="12"/>
  <c r="E677" i="12"/>
  <c r="E676" i="12"/>
  <c r="E675" i="12"/>
  <c r="E674" i="12"/>
  <c r="E673" i="12"/>
  <c r="E672" i="12"/>
  <c r="E671" i="12"/>
  <c r="E669" i="12"/>
  <c r="E668" i="12"/>
  <c r="E667" i="12"/>
  <c r="E666" i="12"/>
  <c r="E665" i="12"/>
  <c r="E664" i="12"/>
  <c r="E663" i="12"/>
  <c r="E662" i="12"/>
  <c r="E661" i="12"/>
  <c r="E660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38" i="12"/>
  <c r="E637" i="12"/>
  <c r="E636" i="12"/>
  <c r="E634" i="12"/>
  <c r="E629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425" i="12"/>
  <c r="E426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4" i="12"/>
  <c r="E392" i="12"/>
  <c r="E391" i="12"/>
  <c r="E390" i="12"/>
  <c r="E389" i="12"/>
  <c r="E388" i="12"/>
  <c r="E387" i="12"/>
  <c r="E386" i="12"/>
  <c r="E379" i="12"/>
  <c r="E378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39" i="12"/>
  <c r="E338" i="12"/>
  <c r="E337" i="12"/>
  <c r="E336" i="12"/>
  <c r="E335" i="12"/>
  <c r="E334" i="12"/>
  <c r="E333" i="12"/>
  <c r="E332" i="12"/>
  <c r="E287" i="12"/>
  <c r="E286" i="12"/>
  <c r="E285" i="12"/>
  <c r="E283" i="12"/>
  <c r="E282" i="12"/>
  <c r="E281" i="12"/>
  <c r="E279" i="12"/>
  <c r="E135" i="12"/>
  <c r="E136" i="12"/>
  <c r="E137" i="12"/>
  <c r="E138" i="12"/>
  <c r="E139" i="12"/>
  <c r="E140" i="12"/>
  <c r="E141" i="12"/>
  <c r="E142" i="12"/>
  <c r="E143" i="12"/>
  <c r="E46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95" i="12"/>
  <c r="E94" i="12"/>
  <c r="E93" i="12"/>
  <c r="E92" i="12"/>
  <c r="E91" i="12"/>
  <c r="E90" i="12"/>
  <c r="E89" i="12"/>
  <c r="E88" i="12"/>
  <c r="E87" i="12"/>
  <c r="E86" i="12"/>
  <c r="E78" i="12"/>
  <c r="E77" i="12"/>
  <c r="E76" i="12"/>
  <c r="E74" i="12"/>
  <c r="E71" i="12"/>
  <c r="E57" i="12"/>
  <c r="E56" i="12"/>
  <c r="E55" i="12"/>
  <c r="E54" i="12"/>
  <c r="E53" i="12"/>
  <c r="E52" i="12"/>
  <c r="Q143" i="12"/>
  <c r="R143" i="12"/>
  <c r="F626" i="3"/>
  <c r="G626" i="3" s="1"/>
  <c r="C626" i="3"/>
  <c r="O626" i="3"/>
  <c r="S626" i="3"/>
  <c r="T626" i="3"/>
  <c r="Q924" i="12"/>
  <c r="R924" i="12"/>
  <c r="F625" i="3"/>
  <c r="G625" i="3" s="1"/>
  <c r="C625" i="3"/>
  <c r="O625" i="3"/>
  <c r="S625" i="3"/>
  <c r="T625" i="3"/>
  <c r="Q1197" i="12"/>
  <c r="R1197" i="12"/>
  <c r="F624" i="3"/>
  <c r="G624" i="3" s="1"/>
  <c r="C624" i="3"/>
  <c r="O624" i="3"/>
  <c r="S624" i="3"/>
  <c r="T624" i="3"/>
  <c r="H63" i="9"/>
  <c r="H62" i="9"/>
  <c r="H61" i="9"/>
  <c r="Q1196" i="12"/>
  <c r="R1196" i="12"/>
  <c r="F622" i="3"/>
  <c r="G622" i="3" s="1"/>
  <c r="G621" i="3"/>
  <c r="C622" i="3"/>
  <c r="O622" i="3"/>
  <c r="S622" i="3"/>
  <c r="T622" i="3"/>
  <c r="Q923" i="12"/>
  <c r="R923" i="12"/>
  <c r="C621" i="3"/>
  <c r="O621" i="3"/>
  <c r="S621" i="3"/>
  <c r="T621" i="3"/>
  <c r="H60" i="9"/>
  <c r="Q1195" i="12"/>
  <c r="R1195" i="12"/>
  <c r="O609" i="3"/>
  <c r="O590" i="3"/>
  <c r="O591" i="3"/>
  <c r="O599" i="3"/>
  <c r="O592" i="3"/>
  <c r="O593" i="3"/>
  <c r="O595" i="3"/>
  <c r="O596" i="3"/>
  <c r="O597" i="3"/>
  <c r="O598" i="3"/>
  <c r="O600" i="3"/>
  <c r="O602" i="3"/>
  <c r="Q602" i="3" s="1"/>
  <c r="O604" i="3"/>
  <c r="O605" i="3"/>
  <c r="O606" i="3"/>
  <c r="O607" i="3"/>
  <c r="Q607" i="3" s="1"/>
  <c r="O614" i="3"/>
  <c r="O610" i="3"/>
  <c r="O611" i="3"/>
  <c r="O612" i="3"/>
  <c r="O615" i="3"/>
  <c r="O613" i="3"/>
  <c r="O616" i="3"/>
  <c r="O618" i="3"/>
  <c r="O617" i="3"/>
  <c r="F617" i="3"/>
  <c r="G617" i="3" s="1"/>
  <c r="C617" i="3"/>
  <c r="S617" i="3"/>
  <c r="T617" i="3"/>
  <c r="H59" i="9"/>
  <c r="Q920" i="12"/>
  <c r="R920" i="12"/>
  <c r="Q921" i="12"/>
  <c r="R921" i="12"/>
  <c r="Q922" i="12"/>
  <c r="R922" i="12"/>
  <c r="F618" i="3"/>
  <c r="G618" i="3" s="1"/>
  <c r="C618" i="3"/>
  <c r="S618" i="3"/>
  <c r="T618" i="3"/>
  <c r="Q919" i="12"/>
  <c r="R919" i="12"/>
  <c r="Q917" i="12"/>
  <c r="R917" i="12"/>
  <c r="Q918" i="12"/>
  <c r="R918" i="12"/>
  <c r="F616" i="3"/>
  <c r="G616" i="3" s="1"/>
  <c r="C616" i="3"/>
  <c r="S616" i="3"/>
  <c r="T616" i="3"/>
  <c r="Q916" i="12"/>
  <c r="R916" i="12"/>
  <c r="Q142" i="12"/>
  <c r="R142" i="12"/>
  <c r="Q829" i="12"/>
  <c r="R829" i="12"/>
  <c r="F613" i="3"/>
  <c r="G613" i="3" s="1"/>
  <c r="C613" i="3"/>
  <c r="S613" i="3"/>
  <c r="T613" i="3"/>
  <c r="F615" i="3"/>
  <c r="G615" i="3" s="1"/>
  <c r="C615" i="3"/>
  <c r="S615" i="3"/>
  <c r="T615" i="3"/>
  <c r="F612" i="3"/>
  <c r="G612" i="3" s="1"/>
  <c r="Q137" i="12"/>
  <c r="R137" i="12"/>
  <c r="C612" i="3"/>
  <c r="S612" i="3"/>
  <c r="T612" i="3"/>
  <c r="O522" i="3"/>
  <c r="F611" i="3"/>
  <c r="G611" i="3" s="1"/>
  <c r="C611" i="3"/>
  <c r="S611" i="3"/>
  <c r="T611" i="3"/>
  <c r="Q426" i="12"/>
  <c r="R426" i="12"/>
  <c r="Q913" i="12"/>
  <c r="R913" i="12"/>
  <c r="Q908" i="12"/>
  <c r="R908" i="12"/>
  <c r="Q909" i="12"/>
  <c r="R909" i="12"/>
  <c r="Q910" i="12"/>
  <c r="R910" i="12"/>
  <c r="Q911" i="12"/>
  <c r="R911" i="12"/>
  <c r="Q912" i="12"/>
  <c r="R912" i="12"/>
  <c r="Q914" i="12"/>
  <c r="R914" i="12"/>
  <c r="F610" i="3"/>
  <c r="G610" i="3" s="1"/>
  <c r="C610" i="3"/>
  <c r="S610" i="3"/>
  <c r="T610" i="3"/>
  <c r="Q839" i="12"/>
  <c r="R839" i="12"/>
  <c r="F609" i="3"/>
  <c r="G609" i="3" s="1"/>
  <c r="C609" i="3"/>
  <c r="S609" i="3"/>
  <c r="T609" i="3"/>
  <c r="Q141" i="12"/>
  <c r="R141" i="12"/>
  <c r="F614" i="3"/>
  <c r="G614" i="3" s="1"/>
  <c r="C614" i="3"/>
  <c r="S614" i="3"/>
  <c r="T614" i="3"/>
  <c r="F607" i="3"/>
  <c r="G607" i="3" s="1"/>
  <c r="C607" i="3"/>
  <c r="S607" i="3"/>
  <c r="T607" i="3"/>
  <c r="Q425" i="12"/>
  <c r="R425" i="12"/>
  <c r="F606" i="3"/>
  <c r="G606" i="3" s="1"/>
  <c r="F605" i="3"/>
  <c r="G605" i="3" s="1"/>
  <c r="C606" i="3"/>
  <c r="S606" i="3"/>
  <c r="T606" i="3"/>
  <c r="C605" i="3"/>
  <c r="S605" i="3"/>
  <c r="T605" i="3"/>
  <c r="Q722" i="12"/>
  <c r="R722" i="12"/>
  <c r="Q898" i="12"/>
  <c r="R898" i="12"/>
  <c r="Q1194" i="12"/>
  <c r="R1194" i="12"/>
  <c r="Q1193" i="12"/>
  <c r="R1193" i="12"/>
  <c r="Q1192" i="12"/>
  <c r="R1192" i="12"/>
  <c r="Q1191" i="12"/>
  <c r="R1191" i="12"/>
  <c r="Q1190" i="12"/>
  <c r="R1190" i="12"/>
  <c r="Q1189" i="12"/>
  <c r="R1189" i="12"/>
  <c r="Q1188" i="12"/>
  <c r="R1188" i="12"/>
  <c r="Q1187" i="12"/>
  <c r="R1187" i="12"/>
  <c r="Q1186" i="12"/>
  <c r="R1186" i="12"/>
  <c r="Q1185" i="12"/>
  <c r="R1185" i="12"/>
  <c r="Q1184" i="12"/>
  <c r="R1184" i="12"/>
  <c r="Q1183" i="12"/>
  <c r="R1183" i="12"/>
  <c r="Q1182" i="12"/>
  <c r="R1182" i="12"/>
  <c r="Q1181" i="12"/>
  <c r="R1181" i="12"/>
  <c r="Q1180" i="12"/>
  <c r="R1180" i="12"/>
  <c r="Q1179" i="12"/>
  <c r="R1179" i="12"/>
  <c r="F604" i="3"/>
  <c r="G604" i="3" s="1"/>
  <c r="C604" i="3"/>
  <c r="S604" i="3"/>
  <c r="T604" i="3"/>
  <c r="Q840" i="12"/>
  <c r="R840" i="12"/>
  <c r="Q902" i="12"/>
  <c r="R902" i="12"/>
  <c r="Q903" i="12"/>
  <c r="R903" i="12"/>
  <c r="Q904" i="12"/>
  <c r="R904" i="12"/>
  <c r="G603" i="3"/>
  <c r="C603" i="3"/>
  <c r="S603" i="3"/>
  <c r="T603" i="3"/>
  <c r="R123" i="12"/>
  <c r="R125" i="12"/>
  <c r="R602" i="3"/>
  <c r="F602" i="3"/>
  <c r="G602" i="3" s="1"/>
  <c r="C602" i="3"/>
  <c r="S602" i="3"/>
  <c r="T602" i="3"/>
  <c r="H57" i="9"/>
  <c r="C601" i="3"/>
  <c r="F595" i="3"/>
  <c r="G595" i="3" s="1"/>
  <c r="F596" i="3"/>
  <c r="G596" i="3" s="1"/>
  <c r="F597" i="3"/>
  <c r="G597" i="3" s="1"/>
  <c r="F598" i="3"/>
  <c r="G598" i="3" s="1"/>
  <c r="C595" i="3"/>
  <c r="S595" i="3"/>
  <c r="T595" i="3"/>
  <c r="C596" i="3"/>
  <c r="S596" i="3"/>
  <c r="T596" i="3"/>
  <c r="C597" i="3"/>
  <c r="S597" i="3"/>
  <c r="T597" i="3"/>
  <c r="C598" i="3"/>
  <c r="S598" i="3"/>
  <c r="T598" i="3"/>
  <c r="F585" i="3"/>
  <c r="G585" i="3" s="1"/>
  <c r="F586" i="3"/>
  <c r="G586" i="3" s="1"/>
  <c r="F587" i="3"/>
  <c r="G587" i="3" s="1"/>
  <c r="G588" i="3"/>
  <c r="G589" i="3"/>
  <c r="C585" i="3"/>
  <c r="O585" i="3"/>
  <c r="S585" i="3"/>
  <c r="T585" i="3"/>
  <c r="C586" i="3"/>
  <c r="O586" i="3"/>
  <c r="S586" i="3"/>
  <c r="T586" i="3"/>
  <c r="C587" i="3"/>
  <c r="O587" i="3"/>
  <c r="S587" i="3"/>
  <c r="T587" i="3"/>
  <c r="C588" i="3"/>
  <c r="O588" i="3"/>
  <c r="S588" i="3"/>
  <c r="T588" i="3"/>
  <c r="C589" i="3"/>
  <c r="S589" i="3"/>
  <c r="T589" i="3"/>
  <c r="G601" i="3" l="1"/>
  <c r="O601" i="3"/>
  <c r="Q601" i="3" s="1"/>
  <c r="R607" i="3"/>
  <c r="R616" i="3"/>
  <c r="Q616" i="3"/>
  <c r="R606" i="3"/>
  <c r="Q606" i="3"/>
  <c r="R597" i="3"/>
  <c r="Q597" i="3"/>
  <c r="R586" i="3"/>
  <c r="Q586" i="3"/>
  <c r="R605" i="3"/>
  <c r="Q605" i="3"/>
  <c r="R596" i="3"/>
  <c r="Q596" i="3"/>
  <c r="R617" i="3"/>
  <c r="Q617" i="3"/>
  <c r="R615" i="3"/>
  <c r="Q615" i="3"/>
  <c r="R614" i="3"/>
  <c r="Q614" i="3"/>
  <c r="R604" i="3"/>
  <c r="Q604" i="3"/>
  <c r="R595" i="3"/>
  <c r="Q595" i="3"/>
  <c r="R591" i="3"/>
  <c r="Q591" i="3"/>
  <c r="R621" i="3"/>
  <c r="Q621" i="3"/>
  <c r="R625" i="3"/>
  <c r="Q625" i="3"/>
  <c r="R627" i="3"/>
  <c r="Q627" i="3"/>
  <c r="R588" i="3"/>
  <c r="Q588" i="3"/>
  <c r="R587" i="3"/>
  <c r="Q587" i="3"/>
  <c r="R611" i="3"/>
  <c r="Q611" i="3"/>
  <c r="R592" i="3"/>
  <c r="Q592" i="3"/>
  <c r="R609" i="3"/>
  <c r="Q609" i="3"/>
  <c r="R622" i="3"/>
  <c r="Q622" i="3"/>
  <c r="R585" i="3"/>
  <c r="Q585" i="3"/>
  <c r="R613" i="3"/>
  <c r="Q613" i="3"/>
  <c r="R610" i="3"/>
  <c r="Q610" i="3"/>
  <c r="R600" i="3"/>
  <c r="Q600" i="3"/>
  <c r="R599" i="3"/>
  <c r="Q599" i="3"/>
  <c r="R626" i="3"/>
  <c r="Q626" i="3"/>
  <c r="R628" i="3"/>
  <c r="Q628" i="3"/>
  <c r="R522" i="3"/>
  <c r="Q522" i="3"/>
  <c r="R618" i="3"/>
  <c r="Q618" i="3"/>
  <c r="R612" i="3"/>
  <c r="Q612" i="3"/>
  <c r="R598" i="3"/>
  <c r="Q598" i="3"/>
  <c r="R593" i="3"/>
  <c r="Q593" i="3"/>
  <c r="R590" i="3"/>
  <c r="Q590" i="3"/>
  <c r="R624" i="3"/>
  <c r="Q624" i="3"/>
  <c r="O603" i="3"/>
  <c r="O589" i="3"/>
  <c r="F581" i="3"/>
  <c r="G581" i="3" s="1"/>
  <c r="F580" i="3"/>
  <c r="G580" i="3" s="1"/>
  <c r="C581" i="3"/>
  <c r="O581" i="3"/>
  <c r="S581" i="3"/>
  <c r="T581" i="3"/>
  <c r="C580" i="3"/>
  <c r="O580" i="3"/>
  <c r="S580" i="3"/>
  <c r="T580" i="3"/>
  <c r="R601" i="3" l="1"/>
  <c r="R580" i="3"/>
  <c r="Q580" i="3"/>
  <c r="R589" i="3"/>
  <c r="Q589" i="3"/>
  <c r="R581" i="3"/>
  <c r="Q581" i="3"/>
  <c r="R603" i="3"/>
  <c r="Q603" i="3"/>
  <c r="Q138" i="12"/>
  <c r="R138" i="12"/>
  <c r="Q139" i="12"/>
  <c r="R139" i="12"/>
  <c r="Q140" i="12"/>
  <c r="R140" i="12"/>
  <c r="F600" i="3" l="1"/>
  <c r="G600" i="3" s="1"/>
  <c r="C600" i="3"/>
  <c r="S600" i="3"/>
  <c r="T600" i="3"/>
  <c r="O584" i="3"/>
  <c r="O583" i="3"/>
  <c r="O579" i="3"/>
  <c r="O574" i="3"/>
  <c r="O577" i="3"/>
  <c r="O578" i="3"/>
  <c r="O575" i="3"/>
  <c r="O576" i="3"/>
  <c r="O573" i="3"/>
  <c r="O569" i="3"/>
  <c r="O572" i="3"/>
  <c r="O568" i="3"/>
  <c r="O571" i="3"/>
  <c r="O567" i="3"/>
  <c r="O566" i="3"/>
  <c r="O594" i="3"/>
  <c r="O555" i="3"/>
  <c r="O563" i="3"/>
  <c r="O562" i="3"/>
  <c r="O561" i="3"/>
  <c r="O560" i="3"/>
  <c r="O559" i="3"/>
  <c r="O558" i="3"/>
  <c r="O557" i="3"/>
  <c r="O556" i="3"/>
  <c r="O554" i="3"/>
  <c r="O552" i="3"/>
  <c r="O551" i="3"/>
  <c r="O550" i="3"/>
  <c r="O549" i="3"/>
  <c r="O548" i="3"/>
  <c r="O547" i="3"/>
  <c r="O546" i="3"/>
  <c r="O543" i="3"/>
  <c r="O542" i="3"/>
  <c r="O541" i="3"/>
  <c r="O540" i="3"/>
  <c r="O538" i="3"/>
  <c r="O536" i="3"/>
  <c r="O534" i="3"/>
  <c r="O533" i="3"/>
  <c r="O530" i="3"/>
  <c r="O528" i="3"/>
  <c r="O532" i="3"/>
  <c r="O531" i="3"/>
  <c r="O529" i="3"/>
  <c r="O527" i="3"/>
  <c r="O526" i="3"/>
  <c r="O525" i="3"/>
  <c r="O524" i="3"/>
  <c r="O523" i="3"/>
  <c r="O520" i="3"/>
  <c r="O518" i="3"/>
  <c r="O517" i="3"/>
  <c r="O515" i="3"/>
  <c r="O514" i="3"/>
  <c r="O513" i="3"/>
  <c r="O512" i="3"/>
  <c r="O511" i="3"/>
  <c r="O510" i="3"/>
  <c r="O509" i="3"/>
  <c r="O508" i="3"/>
  <c r="O507" i="3"/>
  <c r="O506" i="3"/>
  <c r="O504" i="3"/>
  <c r="O503" i="3"/>
  <c r="O502" i="3"/>
  <c r="O501" i="3"/>
  <c r="O500" i="3"/>
  <c r="O499" i="3"/>
  <c r="O498" i="3"/>
  <c r="O494" i="3"/>
  <c r="O493" i="3"/>
  <c r="O491" i="3"/>
  <c r="O490" i="3"/>
  <c r="O489" i="3"/>
  <c r="O488" i="3"/>
  <c r="O487" i="3"/>
  <c r="O484" i="3"/>
  <c r="O483" i="3"/>
  <c r="O481" i="3"/>
  <c r="O479" i="3"/>
  <c r="O478" i="3"/>
  <c r="O477" i="3"/>
  <c r="O475" i="3"/>
  <c r="O474" i="3"/>
  <c r="O473" i="3"/>
  <c r="O472" i="3"/>
  <c r="O471" i="3"/>
  <c r="O470" i="3"/>
  <c r="O469" i="3"/>
  <c r="O468" i="3"/>
  <c r="O467" i="3"/>
  <c r="O465" i="3"/>
  <c r="O464" i="3"/>
  <c r="O463" i="3"/>
  <c r="O462" i="3"/>
  <c r="O461" i="3"/>
  <c r="O460" i="3"/>
  <c r="O459" i="3"/>
  <c r="O457" i="3"/>
  <c r="O456" i="3"/>
  <c r="O455" i="3"/>
  <c r="O454" i="3"/>
  <c r="O453" i="3"/>
  <c r="O450" i="3"/>
  <c r="O449" i="3"/>
  <c r="O447" i="3"/>
  <c r="O446" i="3"/>
  <c r="O445" i="3"/>
  <c r="O444" i="3"/>
  <c r="O443" i="3"/>
  <c r="O442" i="3"/>
  <c r="O439" i="3"/>
  <c r="O438" i="3"/>
  <c r="O437" i="3"/>
  <c r="O432" i="3"/>
  <c r="O431" i="3"/>
  <c r="O430" i="3"/>
  <c r="O428" i="3"/>
  <c r="O426" i="3"/>
  <c r="O423" i="3"/>
  <c r="O420" i="3"/>
  <c r="O419" i="3"/>
  <c r="O418" i="3"/>
  <c r="O417" i="3"/>
  <c r="O416" i="3"/>
  <c r="O414" i="3"/>
  <c r="O413" i="3"/>
  <c r="O412" i="3"/>
  <c r="O410" i="3"/>
  <c r="O409" i="3"/>
  <c r="O407" i="3"/>
  <c r="O406" i="3"/>
  <c r="O404" i="3"/>
  <c r="O403" i="3"/>
  <c r="O402" i="3"/>
  <c r="O401" i="3"/>
  <c r="O397" i="3"/>
  <c r="O396" i="3"/>
  <c r="O394" i="3"/>
  <c r="O392" i="3"/>
  <c r="O391" i="3"/>
  <c r="O390" i="3"/>
  <c r="O389" i="3"/>
  <c r="O388" i="3"/>
  <c r="O385" i="3"/>
  <c r="O383" i="3"/>
  <c r="O382" i="3"/>
  <c r="O381" i="3"/>
  <c r="O380" i="3"/>
  <c r="O379" i="3"/>
  <c r="O378" i="3"/>
  <c r="O375" i="3"/>
  <c r="O373" i="3"/>
  <c r="O372" i="3"/>
  <c r="O371" i="3"/>
  <c r="O370" i="3"/>
  <c r="O369" i="3"/>
  <c r="O368" i="3"/>
  <c r="O367" i="3"/>
  <c r="O366" i="3"/>
  <c r="O365" i="3"/>
  <c r="O364" i="3"/>
  <c r="O363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0" i="3"/>
  <c r="O319" i="3"/>
  <c r="O318" i="3"/>
  <c r="O317" i="3"/>
  <c r="O316" i="3"/>
  <c r="O314" i="3"/>
  <c r="O313" i="3"/>
  <c r="O311" i="3"/>
  <c r="O310" i="3"/>
  <c r="O309" i="3"/>
  <c r="O308" i="3"/>
  <c r="O307" i="3"/>
  <c r="O306" i="3"/>
  <c r="O305" i="3"/>
  <c r="O304" i="3"/>
  <c r="O302" i="3"/>
  <c r="O301" i="3"/>
  <c r="O300" i="3"/>
  <c r="O299" i="3"/>
  <c r="O298" i="3"/>
  <c r="O297" i="3"/>
  <c r="O296" i="3"/>
  <c r="O295" i="3"/>
  <c r="O293" i="3"/>
  <c r="O292" i="3"/>
  <c r="O291" i="3"/>
  <c r="O290" i="3"/>
  <c r="O289" i="3"/>
  <c r="O288" i="3"/>
  <c r="O286" i="3"/>
  <c r="O285" i="3"/>
  <c r="O284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3" i="3"/>
  <c r="O262" i="3"/>
  <c r="O260" i="3"/>
  <c r="O259" i="3"/>
  <c r="O258" i="3"/>
  <c r="O256" i="3"/>
  <c r="O255" i="3"/>
  <c r="O253" i="3"/>
  <c r="O252" i="3"/>
  <c r="O251" i="3"/>
  <c r="O250" i="3"/>
  <c r="O247" i="3"/>
  <c r="O246" i="3"/>
  <c r="O245" i="3"/>
  <c r="O244" i="3"/>
  <c r="O243" i="3"/>
  <c r="O242" i="3"/>
  <c r="O241" i="3"/>
  <c r="O240" i="3"/>
  <c r="O239" i="3"/>
  <c r="O238" i="3"/>
  <c r="O237" i="3"/>
  <c r="O235" i="3"/>
  <c r="O234" i="3"/>
  <c r="O233" i="3"/>
  <c r="O231" i="3"/>
  <c r="O230" i="3"/>
  <c r="O229" i="3"/>
  <c r="O228" i="3"/>
  <c r="O226" i="3"/>
  <c r="O224" i="3"/>
  <c r="O223" i="3"/>
  <c r="O222" i="3"/>
  <c r="O221" i="3"/>
  <c r="O219" i="3"/>
  <c r="O218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2" i="3"/>
  <c r="O201" i="3"/>
  <c r="O200" i="3"/>
  <c r="O199" i="3"/>
  <c r="O198" i="3"/>
  <c r="O196" i="3"/>
  <c r="O195" i="3"/>
  <c r="O193" i="3"/>
  <c r="O190" i="3"/>
  <c r="O189" i="3"/>
  <c r="O187" i="3"/>
  <c r="O186" i="3"/>
  <c r="O185" i="3"/>
  <c r="O184" i="3"/>
  <c r="O182" i="3"/>
  <c r="O181" i="3"/>
  <c r="O180" i="3"/>
  <c r="O179" i="3"/>
  <c r="O178" i="3"/>
  <c r="O177" i="3"/>
  <c r="O174" i="3"/>
  <c r="O173" i="3"/>
  <c r="O172" i="3"/>
  <c r="O171" i="3"/>
  <c r="O169" i="3"/>
  <c r="O168" i="3"/>
  <c r="O167" i="3"/>
  <c r="O166" i="3"/>
  <c r="O165" i="3"/>
  <c r="O164" i="3"/>
  <c r="O163" i="3"/>
  <c r="O161" i="3"/>
  <c r="O160" i="3"/>
  <c r="O159" i="3"/>
  <c r="O158" i="3"/>
  <c r="O157" i="3"/>
  <c r="O156" i="3"/>
  <c r="O150" i="3"/>
  <c r="O149" i="3"/>
  <c r="O147" i="3"/>
  <c r="O145" i="3"/>
  <c r="O143" i="3"/>
  <c r="O142" i="3"/>
  <c r="O139" i="3"/>
  <c r="O138" i="3"/>
  <c r="O134" i="3"/>
  <c r="O131" i="3"/>
  <c r="O130" i="3"/>
  <c r="O129" i="3"/>
  <c r="O127" i="3"/>
  <c r="O126" i="3"/>
  <c r="O125" i="3"/>
  <c r="O123" i="3"/>
  <c r="O122" i="3"/>
  <c r="O121" i="3"/>
  <c r="O120" i="3"/>
  <c r="O119" i="3"/>
  <c r="O118" i="3"/>
  <c r="O117" i="3"/>
  <c r="O115" i="3"/>
  <c r="O114" i="3"/>
  <c r="O113" i="3"/>
  <c r="O112" i="3"/>
  <c r="O111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3" i="3"/>
  <c r="O92" i="3"/>
  <c r="O90" i="3"/>
  <c r="O89" i="3"/>
  <c r="O88" i="3"/>
  <c r="O87" i="3"/>
  <c r="O86" i="3"/>
  <c r="O84" i="3"/>
  <c r="O83" i="3"/>
  <c r="O82" i="3"/>
  <c r="O81" i="3"/>
  <c r="O80" i="3"/>
  <c r="O79" i="3"/>
  <c r="O78" i="3"/>
  <c r="O74" i="3"/>
  <c r="O71" i="3"/>
  <c r="O70" i="3"/>
  <c r="O69" i="3"/>
  <c r="O68" i="3"/>
  <c r="O67" i="3"/>
  <c r="O66" i="3"/>
  <c r="O65" i="3"/>
  <c r="O62" i="3"/>
  <c r="O58" i="3"/>
  <c r="O57" i="3"/>
  <c r="O56" i="3"/>
  <c r="O55" i="3"/>
  <c r="O54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2" i="3"/>
  <c r="O31" i="3"/>
  <c r="O29" i="3"/>
  <c r="O28" i="3"/>
  <c r="O27" i="3"/>
  <c r="O26" i="3"/>
  <c r="O25" i="3"/>
  <c r="O24" i="3"/>
  <c r="O23" i="3"/>
  <c r="O22" i="3"/>
  <c r="O21" i="3"/>
  <c r="O18" i="3"/>
  <c r="O16" i="3"/>
  <c r="O13" i="3"/>
  <c r="O12" i="3"/>
  <c r="O11" i="3"/>
  <c r="O10" i="3"/>
  <c r="O14" i="3"/>
  <c r="O17" i="3"/>
  <c r="O20" i="3"/>
  <c r="O30" i="3"/>
  <c r="O33" i="3"/>
  <c r="O34" i="3"/>
  <c r="O53" i="3"/>
  <c r="O59" i="3"/>
  <c r="O60" i="3"/>
  <c r="O61" i="3"/>
  <c r="O63" i="3"/>
  <c r="O64" i="3"/>
  <c r="O72" i="3"/>
  <c r="O73" i="3"/>
  <c r="O75" i="3"/>
  <c r="O76" i="3"/>
  <c r="O77" i="3"/>
  <c r="O85" i="3"/>
  <c r="O91" i="3"/>
  <c r="O94" i="3"/>
  <c r="O110" i="3"/>
  <c r="O116" i="3"/>
  <c r="O124" i="3"/>
  <c r="O128" i="3"/>
  <c r="O132" i="3"/>
  <c r="O133" i="3"/>
  <c r="O135" i="3"/>
  <c r="O136" i="3"/>
  <c r="O137" i="3"/>
  <c r="O140" i="3"/>
  <c r="O141" i="3"/>
  <c r="O144" i="3"/>
  <c r="O146" i="3"/>
  <c r="O148" i="3"/>
  <c r="O151" i="3"/>
  <c r="O152" i="3"/>
  <c r="O153" i="3"/>
  <c r="O154" i="3"/>
  <c r="O155" i="3"/>
  <c r="O162" i="3"/>
  <c r="O170" i="3"/>
  <c r="O175" i="3"/>
  <c r="O176" i="3"/>
  <c r="O183" i="3"/>
  <c r="O188" i="3"/>
  <c r="O191" i="3"/>
  <c r="O192" i="3"/>
  <c r="O194" i="3"/>
  <c r="O197" i="3"/>
  <c r="O203" i="3"/>
  <c r="O216" i="3"/>
  <c r="O217" i="3"/>
  <c r="O220" i="3"/>
  <c r="O225" i="3"/>
  <c r="O227" i="3"/>
  <c r="O232" i="3"/>
  <c r="O236" i="3"/>
  <c r="O248" i="3"/>
  <c r="O249" i="3"/>
  <c r="O254" i="3"/>
  <c r="O257" i="3"/>
  <c r="O261" i="3"/>
  <c r="O264" i="3"/>
  <c r="O283" i="3"/>
  <c r="O287" i="3"/>
  <c r="O294" i="3"/>
  <c r="O303" i="3"/>
  <c r="O312" i="3"/>
  <c r="O315" i="3"/>
  <c r="O321" i="3"/>
  <c r="O338" i="3"/>
  <c r="O339" i="3"/>
  <c r="O340" i="3"/>
  <c r="O362" i="3"/>
  <c r="O374" i="3"/>
  <c r="O376" i="3"/>
  <c r="O377" i="3"/>
  <c r="O384" i="3"/>
  <c r="O386" i="3"/>
  <c r="O387" i="3"/>
  <c r="O393" i="3"/>
  <c r="O395" i="3"/>
  <c r="O398" i="3"/>
  <c r="O399" i="3"/>
  <c r="O400" i="3"/>
  <c r="O405" i="3"/>
  <c r="O408" i="3"/>
  <c r="O415" i="3"/>
  <c r="O411" i="3"/>
  <c r="O421" i="3"/>
  <c r="O422" i="3"/>
  <c r="O424" i="3"/>
  <c r="O425" i="3"/>
  <c r="O427" i="3"/>
  <c r="O429" i="3"/>
  <c r="O433" i="3"/>
  <c r="O434" i="3"/>
  <c r="O435" i="3"/>
  <c r="O436" i="3"/>
  <c r="O441" i="3"/>
  <c r="O440" i="3"/>
  <c r="O448" i="3"/>
  <c r="O451" i="3"/>
  <c r="O452" i="3"/>
  <c r="O458" i="3"/>
  <c r="O466" i="3"/>
  <c r="O476" i="3"/>
  <c r="O480" i="3"/>
  <c r="O482" i="3"/>
  <c r="O485" i="3"/>
  <c r="O495" i="3"/>
  <c r="O496" i="3"/>
  <c r="O497" i="3"/>
  <c r="O505" i="3"/>
  <c r="O516" i="3"/>
  <c r="O519" i="3"/>
  <c r="O535" i="3"/>
  <c r="O537" i="3"/>
  <c r="O544" i="3"/>
  <c r="O539" i="3"/>
  <c r="O545" i="3"/>
  <c r="O8" i="3"/>
  <c r="O564" i="3"/>
  <c r="O565" i="3"/>
  <c r="O570" i="3"/>
  <c r="O582" i="3"/>
  <c r="Q135" i="12"/>
  <c r="R135" i="12"/>
  <c r="Q136" i="12"/>
  <c r="R136" i="12"/>
  <c r="F593" i="3"/>
  <c r="G593" i="3" s="1"/>
  <c r="C593" i="3"/>
  <c r="S593" i="3"/>
  <c r="T593" i="3"/>
  <c r="Q1178" i="12"/>
  <c r="R1178" i="12"/>
  <c r="Q1177" i="12"/>
  <c r="R1177" i="12"/>
  <c r="F592" i="3"/>
  <c r="G592" i="3" s="1"/>
  <c r="C592" i="3"/>
  <c r="S592" i="3"/>
  <c r="T592" i="3"/>
  <c r="E1176" i="12"/>
  <c r="E1175" i="12"/>
  <c r="E1174" i="12"/>
  <c r="Q1176" i="12"/>
  <c r="R1176" i="12"/>
  <c r="Q1175" i="12"/>
  <c r="R1175" i="12"/>
  <c r="Q1174" i="12"/>
  <c r="R1174" i="12"/>
  <c r="F599" i="3"/>
  <c r="G599" i="3" s="1"/>
  <c r="C599" i="3"/>
  <c r="S599" i="3"/>
  <c r="T599" i="3"/>
  <c r="Q899" i="12"/>
  <c r="R899" i="12"/>
  <c r="F591" i="3"/>
  <c r="G591" i="3" s="1"/>
  <c r="C591" i="3"/>
  <c r="S591" i="3"/>
  <c r="T591" i="3"/>
  <c r="Q842" i="12"/>
  <c r="R842" i="12"/>
  <c r="Q888" i="12"/>
  <c r="R888" i="12"/>
  <c r="Q948" i="12"/>
  <c r="R948" i="12"/>
  <c r="F590" i="3"/>
  <c r="G590" i="3" s="1"/>
  <c r="C590" i="3"/>
  <c r="S590" i="3"/>
  <c r="T590" i="3"/>
  <c r="R8" i="3" l="1"/>
  <c r="Q8" i="3"/>
  <c r="R505" i="3"/>
  <c r="Q505" i="3"/>
  <c r="R466" i="3"/>
  <c r="Q466" i="3"/>
  <c r="R435" i="3"/>
  <c r="Q435" i="3"/>
  <c r="R421" i="3"/>
  <c r="Q421" i="3"/>
  <c r="R395" i="3"/>
  <c r="Q395" i="3"/>
  <c r="R362" i="3"/>
  <c r="Q362" i="3"/>
  <c r="R294" i="3"/>
  <c r="Q294" i="3"/>
  <c r="R225" i="3"/>
  <c r="Q225" i="3"/>
  <c r="R191" i="3"/>
  <c r="Q191" i="3"/>
  <c r="R154" i="3"/>
  <c r="Q154" i="3"/>
  <c r="R140" i="3"/>
  <c r="Q140" i="3"/>
  <c r="R116" i="3"/>
  <c r="Q116" i="3"/>
  <c r="R73" i="3"/>
  <c r="Q73" i="3"/>
  <c r="R34" i="3"/>
  <c r="Q34" i="3"/>
  <c r="R12" i="3"/>
  <c r="Q12" i="3"/>
  <c r="R24" i="3"/>
  <c r="Q24" i="3"/>
  <c r="R35" i="3"/>
  <c r="Q35" i="3"/>
  <c r="R43" i="3"/>
  <c r="Q43" i="3"/>
  <c r="R51" i="3"/>
  <c r="Q51" i="3"/>
  <c r="R56" i="3"/>
  <c r="Q56" i="3"/>
  <c r="R69" i="3"/>
  <c r="Q69" i="3"/>
  <c r="R82" i="3"/>
  <c r="Q82" i="3"/>
  <c r="R92" i="3"/>
  <c r="Q92" i="3"/>
  <c r="R101" i="3"/>
  <c r="Q101" i="3"/>
  <c r="R114" i="3"/>
  <c r="Q114" i="3"/>
  <c r="R123" i="3"/>
  <c r="Q123" i="3"/>
  <c r="R138" i="3"/>
  <c r="Q138" i="3"/>
  <c r="R156" i="3"/>
  <c r="Q156" i="3"/>
  <c r="R165" i="3"/>
  <c r="Q165" i="3"/>
  <c r="R174" i="3"/>
  <c r="Q174" i="3"/>
  <c r="R185" i="3"/>
  <c r="Q185" i="3"/>
  <c r="R198" i="3"/>
  <c r="Q198" i="3"/>
  <c r="R207" i="3"/>
  <c r="Q207" i="3"/>
  <c r="R215" i="3"/>
  <c r="Q215" i="3"/>
  <c r="R228" i="3"/>
  <c r="Q228" i="3"/>
  <c r="R238" i="3"/>
  <c r="Q238" i="3"/>
  <c r="R246" i="3"/>
  <c r="Q246" i="3"/>
  <c r="R258" i="3"/>
  <c r="Q258" i="3"/>
  <c r="R268" i="3"/>
  <c r="Q268" i="3"/>
  <c r="R280" i="3"/>
  <c r="Q280" i="3"/>
  <c r="R290" i="3"/>
  <c r="Q290" i="3"/>
  <c r="R299" i="3"/>
  <c r="Q299" i="3"/>
  <c r="R304" i="3"/>
  <c r="Q304" i="3"/>
  <c r="R313" i="3"/>
  <c r="Q313" i="3"/>
  <c r="R323" i="3"/>
  <c r="Q323" i="3"/>
  <c r="R331" i="3"/>
  <c r="Q331" i="3"/>
  <c r="R346" i="3"/>
  <c r="Q346" i="3"/>
  <c r="R354" i="3"/>
  <c r="Q354" i="3"/>
  <c r="R363" i="3"/>
  <c r="Q363" i="3"/>
  <c r="R371" i="3"/>
  <c r="Q371" i="3"/>
  <c r="R382" i="3"/>
  <c r="Q382" i="3"/>
  <c r="R394" i="3"/>
  <c r="Q394" i="3"/>
  <c r="R407" i="3"/>
  <c r="Q407" i="3"/>
  <c r="R418" i="3"/>
  <c r="Q418" i="3"/>
  <c r="R432" i="3"/>
  <c r="Q432" i="3"/>
  <c r="R446" i="3"/>
  <c r="Q446" i="3"/>
  <c r="R457" i="3"/>
  <c r="Q457" i="3"/>
  <c r="R467" i="3"/>
  <c r="Q467" i="3"/>
  <c r="R475" i="3"/>
  <c r="Q475" i="3"/>
  <c r="R498" i="3"/>
  <c r="Q498" i="3"/>
  <c r="R507" i="3"/>
  <c r="Q507" i="3"/>
  <c r="R515" i="3"/>
  <c r="Q515" i="3"/>
  <c r="R526" i="3"/>
  <c r="Q526" i="3"/>
  <c r="R534" i="3"/>
  <c r="Q534" i="3"/>
  <c r="R547" i="3"/>
  <c r="Q547" i="3"/>
  <c r="R557" i="3"/>
  <c r="Q557" i="3"/>
  <c r="R594" i="3"/>
  <c r="Q594" i="3"/>
  <c r="R574" i="3"/>
  <c r="Q574" i="3"/>
  <c r="R570" i="3"/>
  <c r="Q570" i="3"/>
  <c r="R535" i="3"/>
  <c r="Q535" i="3"/>
  <c r="R482" i="3"/>
  <c r="Q482" i="3"/>
  <c r="R440" i="3"/>
  <c r="Q440" i="3"/>
  <c r="R425" i="3"/>
  <c r="Q425" i="3"/>
  <c r="R400" i="3"/>
  <c r="Q400" i="3"/>
  <c r="R377" i="3"/>
  <c r="Q377" i="3"/>
  <c r="R287" i="3"/>
  <c r="Q287" i="3"/>
  <c r="R236" i="3"/>
  <c r="Q236" i="3"/>
  <c r="R197" i="3"/>
  <c r="Q197" i="3"/>
  <c r="R170" i="3"/>
  <c r="Q170" i="3"/>
  <c r="R146" i="3"/>
  <c r="Q146" i="3"/>
  <c r="R132" i="3"/>
  <c r="Q132" i="3"/>
  <c r="R77" i="3"/>
  <c r="Q77" i="3"/>
  <c r="R60" i="3"/>
  <c r="Q60" i="3"/>
  <c r="R14" i="3"/>
  <c r="Q14" i="3"/>
  <c r="R21" i="3"/>
  <c r="Q21" i="3"/>
  <c r="R29" i="3"/>
  <c r="Q29" i="3"/>
  <c r="R40" i="3"/>
  <c r="Q40" i="3"/>
  <c r="R48" i="3"/>
  <c r="Q48" i="3"/>
  <c r="R57" i="3"/>
  <c r="Q57" i="3"/>
  <c r="R70" i="3"/>
  <c r="Q70" i="3"/>
  <c r="R79" i="3"/>
  <c r="Q79" i="3"/>
  <c r="R88" i="3"/>
  <c r="Q88" i="3"/>
  <c r="R98" i="3"/>
  <c r="Q98" i="3"/>
  <c r="R106" i="3"/>
  <c r="Q106" i="3"/>
  <c r="R120" i="3"/>
  <c r="Q120" i="3"/>
  <c r="R130" i="3"/>
  <c r="Q130" i="3"/>
  <c r="R147" i="3"/>
  <c r="Q147" i="3"/>
  <c r="R161" i="3"/>
  <c r="Q161" i="3"/>
  <c r="R171" i="3"/>
  <c r="Q171" i="3"/>
  <c r="R181" i="3"/>
  <c r="Q181" i="3"/>
  <c r="R193" i="3"/>
  <c r="Q193" i="3"/>
  <c r="R204" i="3"/>
  <c r="Q204" i="3"/>
  <c r="R212" i="3"/>
  <c r="Q212" i="3"/>
  <c r="R223" i="3"/>
  <c r="Q223" i="3"/>
  <c r="R234" i="3"/>
  <c r="Q234" i="3"/>
  <c r="R243" i="3"/>
  <c r="Q243" i="3"/>
  <c r="R253" i="3"/>
  <c r="Q253" i="3"/>
  <c r="R265" i="3"/>
  <c r="Q265" i="3"/>
  <c r="R273" i="3"/>
  <c r="Q273" i="3"/>
  <c r="R281" i="3"/>
  <c r="Q281" i="3"/>
  <c r="R291" i="3"/>
  <c r="Q291" i="3"/>
  <c r="R300" i="3"/>
  <c r="Q300" i="3"/>
  <c r="R309" i="3"/>
  <c r="Q309" i="3"/>
  <c r="R319" i="3"/>
  <c r="Q319" i="3"/>
  <c r="R328" i="3"/>
  <c r="Q328" i="3"/>
  <c r="R336" i="3"/>
  <c r="Q336" i="3"/>
  <c r="R347" i="3"/>
  <c r="Q347" i="3"/>
  <c r="R355" i="3"/>
  <c r="Q355" i="3"/>
  <c r="R364" i="3"/>
  <c r="Q364" i="3"/>
  <c r="R372" i="3"/>
  <c r="Q372" i="3"/>
  <c r="R383" i="3"/>
  <c r="Q383" i="3"/>
  <c r="R396" i="3"/>
  <c r="Q396" i="3"/>
  <c r="R409" i="3"/>
  <c r="Q409" i="3"/>
  <c r="R428" i="3"/>
  <c r="Q428" i="3"/>
  <c r="R437" i="3"/>
  <c r="Q437" i="3"/>
  <c r="R447" i="3"/>
  <c r="Q447" i="3"/>
  <c r="R459" i="3"/>
  <c r="Q459" i="3"/>
  <c r="R468" i="3"/>
  <c r="Q468" i="3"/>
  <c r="R477" i="3"/>
  <c r="Q477" i="3"/>
  <c r="R488" i="3"/>
  <c r="Q488" i="3"/>
  <c r="R503" i="3"/>
  <c r="Q503" i="3"/>
  <c r="R508" i="3"/>
  <c r="Q508" i="3"/>
  <c r="R517" i="3"/>
  <c r="Q517" i="3"/>
  <c r="R527" i="3"/>
  <c r="Q527" i="3"/>
  <c r="R536" i="3"/>
  <c r="Q536" i="3"/>
  <c r="R548" i="3"/>
  <c r="Q548" i="3"/>
  <c r="R552" i="3"/>
  <c r="Q552" i="3"/>
  <c r="R558" i="3"/>
  <c r="Q558" i="3"/>
  <c r="R562" i="3"/>
  <c r="Q562" i="3"/>
  <c r="R566" i="3"/>
  <c r="Q566" i="3"/>
  <c r="R572" i="3"/>
  <c r="Q572" i="3"/>
  <c r="R575" i="3"/>
  <c r="Q575" i="3"/>
  <c r="R565" i="3"/>
  <c r="Q565" i="3"/>
  <c r="R519" i="3"/>
  <c r="Q519" i="3"/>
  <c r="R480" i="3"/>
  <c r="Q480" i="3"/>
  <c r="R441" i="3"/>
  <c r="Q441" i="3"/>
  <c r="R424" i="3"/>
  <c r="Q424" i="3"/>
  <c r="R399" i="3"/>
  <c r="Q399" i="3"/>
  <c r="R376" i="3"/>
  <c r="Q376" i="3"/>
  <c r="R312" i="3"/>
  <c r="Q312" i="3"/>
  <c r="R232" i="3"/>
  <c r="Q232" i="3"/>
  <c r="R194" i="3"/>
  <c r="Q194" i="3"/>
  <c r="R162" i="3"/>
  <c r="Q162" i="3"/>
  <c r="R144" i="3"/>
  <c r="Q144" i="3"/>
  <c r="R128" i="3"/>
  <c r="Q128" i="3"/>
  <c r="R76" i="3"/>
  <c r="Q76" i="3"/>
  <c r="R30" i="3"/>
  <c r="Q30" i="3"/>
  <c r="R26" i="3"/>
  <c r="Q26" i="3"/>
  <c r="R41" i="3"/>
  <c r="Q41" i="3"/>
  <c r="R49" i="3"/>
  <c r="Q49" i="3"/>
  <c r="R58" i="3"/>
  <c r="Q58" i="3"/>
  <c r="R71" i="3"/>
  <c r="Q71" i="3"/>
  <c r="R89" i="3"/>
  <c r="Q89" i="3"/>
  <c r="R99" i="3"/>
  <c r="Q99" i="3"/>
  <c r="R107" i="3"/>
  <c r="Q107" i="3"/>
  <c r="R121" i="3"/>
  <c r="Q121" i="3"/>
  <c r="R131" i="3"/>
  <c r="Q131" i="3"/>
  <c r="R149" i="3"/>
  <c r="Q149" i="3"/>
  <c r="R163" i="3"/>
  <c r="Q163" i="3"/>
  <c r="R172" i="3"/>
  <c r="Q172" i="3"/>
  <c r="R182" i="3"/>
  <c r="Q182" i="3"/>
  <c r="R195" i="3"/>
  <c r="Q195" i="3"/>
  <c r="R200" i="3"/>
  <c r="Q200" i="3"/>
  <c r="R205" i="3"/>
  <c r="Q205" i="3"/>
  <c r="R209" i="3"/>
  <c r="Q209" i="3"/>
  <c r="R219" i="3"/>
  <c r="Q219" i="3"/>
  <c r="R224" i="3"/>
  <c r="Q224" i="3"/>
  <c r="R230" i="3"/>
  <c r="Q230" i="3"/>
  <c r="R235" i="3"/>
  <c r="Q235" i="3"/>
  <c r="R240" i="3"/>
  <c r="Q240" i="3"/>
  <c r="R244" i="3"/>
  <c r="Q244" i="3"/>
  <c r="R250" i="3"/>
  <c r="Q250" i="3"/>
  <c r="R255" i="3"/>
  <c r="Q255" i="3"/>
  <c r="R260" i="3"/>
  <c r="Q260" i="3"/>
  <c r="R266" i="3"/>
  <c r="Q266" i="3"/>
  <c r="R270" i="3"/>
  <c r="Q270" i="3"/>
  <c r="R274" i="3"/>
  <c r="Q274" i="3"/>
  <c r="R278" i="3"/>
  <c r="Q278" i="3"/>
  <c r="R282" i="3"/>
  <c r="Q282" i="3"/>
  <c r="R288" i="3"/>
  <c r="Q288" i="3"/>
  <c r="R292" i="3"/>
  <c r="Q292" i="3"/>
  <c r="R297" i="3"/>
  <c r="Q297" i="3"/>
  <c r="R301" i="3"/>
  <c r="Q301" i="3"/>
  <c r="R306" i="3"/>
  <c r="Q306" i="3"/>
  <c r="R310" i="3"/>
  <c r="Q310" i="3"/>
  <c r="R316" i="3"/>
  <c r="Q316" i="3"/>
  <c r="R320" i="3"/>
  <c r="Q320" i="3"/>
  <c r="R325" i="3"/>
  <c r="Q325" i="3"/>
  <c r="R329" i="3"/>
  <c r="Q329" i="3"/>
  <c r="R333" i="3"/>
  <c r="Q333" i="3"/>
  <c r="R337" i="3"/>
  <c r="Q337" i="3"/>
  <c r="R344" i="3"/>
  <c r="Q344" i="3"/>
  <c r="R348" i="3"/>
  <c r="Q348" i="3"/>
  <c r="R352" i="3"/>
  <c r="Q352" i="3"/>
  <c r="R356" i="3"/>
  <c r="Q356" i="3"/>
  <c r="R360" i="3"/>
  <c r="Q360" i="3"/>
  <c r="R365" i="3"/>
  <c r="Q365" i="3"/>
  <c r="R369" i="3"/>
  <c r="Q369" i="3"/>
  <c r="R373" i="3"/>
  <c r="Q373" i="3"/>
  <c r="R380" i="3"/>
  <c r="Q380" i="3"/>
  <c r="R385" i="3"/>
  <c r="Q385" i="3"/>
  <c r="R391" i="3"/>
  <c r="Q391" i="3"/>
  <c r="R397" i="3"/>
  <c r="Q397" i="3"/>
  <c r="R404" i="3"/>
  <c r="Q404" i="3"/>
  <c r="R410" i="3"/>
  <c r="Q410" i="3"/>
  <c r="R416" i="3"/>
  <c r="Q416" i="3"/>
  <c r="R420" i="3"/>
  <c r="Q420" i="3"/>
  <c r="R430" i="3"/>
  <c r="Q430" i="3"/>
  <c r="R438" i="3"/>
  <c r="Q438" i="3"/>
  <c r="R444" i="3"/>
  <c r="Q444" i="3"/>
  <c r="R449" i="3"/>
  <c r="Q449" i="3"/>
  <c r="R455" i="3"/>
  <c r="Q455" i="3"/>
  <c r="R460" i="3"/>
  <c r="Q460" i="3"/>
  <c r="R464" i="3"/>
  <c r="Q464" i="3"/>
  <c r="R469" i="3"/>
  <c r="Q469" i="3"/>
  <c r="R473" i="3"/>
  <c r="Q473" i="3"/>
  <c r="R478" i="3"/>
  <c r="Q478" i="3"/>
  <c r="R484" i="3"/>
  <c r="Q484" i="3"/>
  <c r="R489" i="3"/>
  <c r="Q489" i="3"/>
  <c r="R493" i="3"/>
  <c r="Q493" i="3"/>
  <c r="R500" i="3"/>
  <c r="Q500" i="3"/>
  <c r="R504" i="3"/>
  <c r="Q504" i="3"/>
  <c r="R509" i="3"/>
  <c r="Q509" i="3"/>
  <c r="R513" i="3"/>
  <c r="Q513" i="3"/>
  <c r="R518" i="3"/>
  <c r="Q518" i="3"/>
  <c r="R524" i="3"/>
  <c r="Q524" i="3"/>
  <c r="R529" i="3"/>
  <c r="Q529" i="3"/>
  <c r="R530" i="3"/>
  <c r="Q530" i="3"/>
  <c r="R538" i="3"/>
  <c r="Q538" i="3"/>
  <c r="R543" i="3"/>
  <c r="Q543" i="3"/>
  <c r="R549" i="3"/>
  <c r="Q549" i="3"/>
  <c r="R554" i="3"/>
  <c r="Q554" i="3"/>
  <c r="R559" i="3"/>
  <c r="Q559" i="3"/>
  <c r="R563" i="3"/>
  <c r="Q563" i="3"/>
  <c r="R567" i="3"/>
  <c r="Q567" i="3"/>
  <c r="R569" i="3"/>
  <c r="Q569" i="3"/>
  <c r="R578" i="3"/>
  <c r="Q578" i="3"/>
  <c r="R583" i="3"/>
  <c r="Q583" i="3"/>
  <c r="R582" i="3"/>
  <c r="Q582" i="3"/>
  <c r="R537" i="3"/>
  <c r="Q537" i="3"/>
  <c r="R485" i="3"/>
  <c r="Q485" i="3"/>
  <c r="R448" i="3"/>
  <c r="Q448" i="3"/>
  <c r="R427" i="3"/>
  <c r="Q427" i="3"/>
  <c r="R405" i="3"/>
  <c r="Q405" i="3"/>
  <c r="R384" i="3"/>
  <c r="Q384" i="3"/>
  <c r="R321" i="3"/>
  <c r="Q321" i="3"/>
  <c r="R261" i="3"/>
  <c r="Q261" i="3"/>
  <c r="R248" i="3"/>
  <c r="Q248" i="3"/>
  <c r="R203" i="3"/>
  <c r="Q203" i="3"/>
  <c r="R175" i="3"/>
  <c r="Q175" i="3"/>
  <c r="R148" i="3"/>
  <c r="Q148" i="3"/>
  <c r="R133" i="3"/>
  <c r="Q133" i="3"/>
  <c r="R85" i="3"/>
  <c r="Q85" i="3"/>
  <c r="R61" i="3"/>
  <c r="Q61" i="3"/>
  <c r="R17" i="3"/>
  <c r="Q17" i="3"/>
  <c r="R18" i="3"/>
  <c r="Q18" i="3"/>
  <c r="R28" i="3"/>
  <c r="Q28" i="3"/>
  <c r="R39" i="3"/>
  <c r="Q39" i="3"/>
  <c r="R47" i="3"/>
  <c r="Q47" i="3"/>
  <c r="R65" i="3"/>
  <c r="Q65" i="3"/>
  <c r="R78" i="3"/>
  <c r="Q78" i="3"/>
  <c r="R87" i="3"/>
  <c r="Q87" i="3"/>
  <c r="R97" i="3"/>
  <c r="Q97" i="3"/>
  <c r="R105" i="3"/>
  <c r="Q105" i="3"/>
  <c r="R109" i="3"/>
  <c r="Q109" i="3"/>
  <c r="R119" i="3"/>
  <c r="Q119" i="3"/>
  <c r="R129" i="3"/>
  <c r="Q129" i="3"/>
  <c r="R145" i="3"/>
  <c r="Q145" i="3"/>
  <c r="R160" i="3"/>
  <c r="Q160" i="3"/>
  <c r="R169" i="3"/>
  <c r="Q169" i="3"/>
  <c r="R180" i="3"/>
  <c r="Q180" i="3"/>
  <c r="R190" i="3"/>
  <c r="Q190" i="3"/>
  <c r="R202" i="3"/>
  <c r="Q202" i="3"/>
  <c r="R211" i="3"/>
  <c r="Q211" i="3"/>
  <c r="R222" i="3"/>
  <c r="Q222" i="3"/>
  <c r="R233" i="3"/>
  <c r="Q233" i="3"/>
  <c r="R242" i="3"/>
  <c r="Q242" i="3"/>
  <c r="R252" i="3"/>
  <c r="Q252" i="3"/>
  <c r="R263" i="3"/>
  <c r="Q263" i="3"/>
  <c r="R272" i="3"/>
  <c r="Q272" i="3"/>
  <c r="R276" i="3"/>
  <c r="Q276" i="3"/>
  <c r="R285" i="3"/>
  <c r="Q285" i="3"/>
  <c r="R295" i="3"/>
  <c r="Q295" i="3"/>
  <c r="R308" i="3"/>
  <c r="Q308" i="3"/>
  <c r="R318" i="3"/>
  <c r="Q318" i="3"/>
  <c r="R327" i="3"/>
  <c r="Q327" i="3"/>
  <c r="R335" i="3"/>
  <c r="Q335" i="3"/>
  <c r="R342" i="3"/>
  <c r="Q342" i="3"/>
  <c r="R350" i="3"/>
  <c r="Q350" i="3"/>
  <c r="R358" i="3"/>
  <c r="Q358" i="3"/>
  <c r="R367" i="3"/>
  <c r="Q367" i="3"/>
  <c r="R378" i="3"/>
  <c r="Q378" i="3"/>
  <c r="R389" i="3"/>
  <c r="Q389" i="3"/>
  <c r="R402" i="3"/>
  <c r="Q402" i="3"/>
  <c r="R413" i="3"/>
  <c r="Q413" i="3"/>
  <c r="R426" i="3"/>
  <c r="Q426" i="3"/>
  <c r="R442" i="3"/>
  <c r="Q442" i="3"/>
  <c r="R453" i="3"/>
  <c r="Q453" i="3"/>
  <c r="R462" i="3"/>
  <c r="Q462" i="3"/>
  <c r="R471" i="3"/>
  <c r="Q471" i="3"/>
  <c r="R481" i="3"/>
  <c r="Q481" i="3"/>
  <c r="R487" i="3"/>
  <c r="Q487" i="3"/>
  <c r="R490" i="3"/>
  <c r="Q490" i="3"/>
  <c r="R502" i="3"/>
  <c r="Q502" i="3"/>
  <c r="R511" i="3"/>
  <c r="Q511" i="3"/>
  <c r="R532" i="3"/>
  <c r="Q532" i="3"/>
  <c r="R541" i="3"/>
  <c r="Q541" i="3"/>
  <c r="R551" i="3"/>
  <c r="Q551" i="3"/>
  <c r="R561" i="3"/>
  <c r="Q561" i="3"/>
  <c r="R568" i="3"/>
  <c r="Q568" i="3"/>
  <c r="R576" i="3"/>
  <c r="Q576" i="3"/>
  <c r="R545" i="3"/>
  <c r="Q545" i="3"/>
  <c r="R497" i="3"/>
  <c r="Q497" i="3"/>
  <c r="R458" i="3"/>
  <c r="Q458" i="3"/>
  <c r="R434" i="3"/>
  <c r="Q434" i="3"/>
  <c r="R411" i="3"/>
  <c r="Q411" i="3"/>
  <c r="R393" i="3"/>
  <c r="Q393" i="3"/>
  <c r="R340" i="3"/>
  <c r="Q340" i="3"/>
  <c r="R315" i="3"/>
  <c r="Q315" i="3"/>
  <c r="R257" i="3"/>
  <c r="Q257" i="3"/>
  <c r="R220" i="3"/>
  <c r="Q220" i="3"/>
  <c r="R188" i="3"/>
  <c r="Q188" i="3"/>
  <c r="R153" i="3"/>
  <c r="Q153" i="3"/>
  <c r="R137" i="3"/>
  <c r="Q137" i="3"/>
  <c r="R110" i="3"/>
  <c r="Q110" i="3"/>
  <c r="R72" i="3"/>
  <c r="Q72" i="3"/>
  <c r="R33" i="3"/>
  <c r="Q33" i="3"/>
  <c r="R13" i="3"/>
  <c r="Q13" i="3"/>
  <c r="R25" i="3"/>
  <c r="Q25" i="3"/>
  <c r="R36" i="3"/>
  <c r="Q36" i="3"/>
  <c r="R44" i="3"/>
  <c r="Q44" i="3"/>
  <c r="R52" i="3"/>
  <c r="Q52" i="3"/>
  <c r="R66" i="3"/>
  <c r="Q66" i="3"/>
  <c r="R83" i="3"/>
  <c r="Q83" i="3"/>
  <c r="R93" i="3"/>
  <c r="Q93" i="3"/>
  <c r="R102" i="3"/>
  <c r="Q102" i="3"/>
  <c r="R111" i="3"/>
  <c r="Q111" i="3"/>
  <c r="R115" i="3"/>
  <c r="Q115" i="3"/>
  <c r="R125" i="3"/>
  <c r="Q125" i="3"/>
  <c r="R139" i="3"/>
  <c r="Q139" i="3"/>
  <c r="R157" i="3"/>
  <c r="Q157" i="3"/>
  <c r="R166" i="3"/>
  <c r="Q166" i="3"/>
  <c r="R177" i="3"/>
  <c r="Q177" i="3"/>
  <c r="R186" i="3"/>
  <c r="Q186" i="3"/>
  <c r="R199" i="3"/>
  <c r="Q199" i="3"/>
  <c r="R208" i="3"/>
  <c r="Q208" i="3"/>
  <c r="R218" i="3"/>
  <c r="Q218" i="3"/>
  <c r="R229" i="3"/>
  <c r="Q229" i="3"/>
  <c r="R239" i="3"/>
  <c r="Q239" i="3"/>
  <c r="R247" i="3"/>
  <c r="Q247" i="3"/>
  <c r="R259" i="3"/>
  <c r="Q259" i="3"/>
  <c r="R269" i="3"/>
  <c r="Q269" i="3"/>
  <c r="R277" i="3"/>
  <c r="Q277" i="3"/>
  <c r="R286" i="3"/>
  <c r="Q286" i="3"/>
  <c r="R296" i="3"/>
  <c r="Q296" i="3"/>
  <c r="R305" i="3"/>
  <c r="Q305" i="3"/>
  <c r="R314" i="3"/>
  <c r="Q314" i="3"/>
  <c r="R324" i="3"/>
  <c r="Q324" i="3"/>
  <c r="R332" i="3"/>
  <c r="Q332" i="3"/>
  <c r="R343" i="3"/>
  <c r="Q343" i="3"/>
  <c r="R351" i="3"/>
  <c r="Q351" i="3"/>
  <c r="R359" i="3"/>
  <c r="Q359" i="3"/>
  <c r="R368" i="3"/>
  <c r="Q368" i="3"/>
  <c r="R379" i="3"/>
  <c r="Q379" i="3"/>
  <c r="R390" i="3"/>
  <c r="Q390" i="3"/>
  <c r="R403" i="3"/>
  <c r="Q403" i="3"/>
  <c r="R414" i="3"/>
  <c r="Q414" i="3"/>
  <c r="R419" i="3"/>
  <c r="Q419" i="3"/>
  <c r="R443" i="3"/>
  <c r="Q443" i="3"/>
  <c r="R454" i="3"/>
  <c r="Q454" i="3"/>
  <c r="R463" i="3"/>
  <c r="Q463" i="3"/>
  <c r="R472" i="3"/>
  <c r="Q472" i="3"/>
  <c r="R483" i="3"/>
  <c r="Q483" i="3"/>
  <c r="R491" i="3"/>
  <c r="Q491" i="3"/>
  <c r="R499" i="3"/>
  <c r="Q499" i="3"/>
  <c r="R512" i="3"/>
  <c r="Q512" i="3"/>
  <c r="R523" i="3"/>
  <c r="Q523" i="3"/>
  <c r="R528" i="3"/>
  <c r="Q528" i="3"/>
  <c r="R542" i="3"/>
  <c r="Q542" i="3"/>
  <c r="R579" i="3"/>
  <c r="Q579" i="3"/>
  <c r="R539" i="3"/>
  <c r="Q539" i="3"/>
  <c r="R496" i="3"/>
  <c r="Q496" i="3"/>
  <c r="R452" i="3"/>
  <c r="Q452" i="3"/>
  <c r="R433" i="3"/>
  <c r="Q433" i="3"/>
  <c r="R415" i="3"/>
  <c r="Q415" i="3"/>
  <c r="R387" i="3"/>
  <c r="Q387" i="3"/>
  <c r="R339" i="3"/>
  <c r="Q339" i="3"/>
  <c r="R283" i="3"/>
  <c r="Q283" i="3"/>
  <c r="R254" i="3"/>
  <c r="Q254" i="3"/>
  <c r="R217" i="3"/>
  <c r="Q217" i="3"/>
  <c r="R183" i="3"/>
  <c r="Q183" i="3"/>
  <c r="R152" i="3"/>
  <c r="Q152" i="3"/>
  <c r="R136" i="3"/>
  <c r="Q136" i="3"/>
  <c r="R94" i="3"/>
  <c r="Q94" i="3"/>
  <c r="R64" i="3"/>
  <c r="Q64" i="3"/>
  <c r="R59" i="3"/>
  <c r="Q59" i="3"/>
  <c r="R10" i="3"/>
  <c r="Q10" i="3"/>
  <c r="R22" i="3"/>
  <c r="Q22" i="3"/>
  <c r="R31" i="3"/>
  <c r="Q31" i="3"/>
  <c r="R37" i="3"/>
  <c r="Q37" i="3"/>
  <c r="R45" i="3"/>
  <c r="Q45" i="3"/>
  <c r="R54" i="3"/>
  <c r="Q54" i="3"/>
  <c r="R67" i="3"/>
  <c r="Q67" i="3"/>
  <c r="R80" i="3"/>
  <c r="Q80" i="3"/>
  <c r="R84" i="3"/>
  <c r="Q84" i="3"/>
  <c r="R95" i="3"/>
  <c r="Q95" i="3"/>
  <c r="R103" i="3"/>
  <c r="Q103" i="3"/>
  <c r="R112" i="3"/>
  <c r="Q112" i="3"/>
  <c r="R117" i="3"/>
  <c r="Q117" i="3"/>
  <c r="R126" i="3"/>
  <c r="Q126" i="3"/>
  <c r="R142" i="3"/>
  <c r="Q142" i="3"/>
  <c r="R158" i="3"/>
  <c r="Q158" i="3"/>
  <c r="R167" i="3"/>
  <c r="Q167" i="3"/>
  <c r="R178" i="3"/>
  <c r="Q178" i="3"/>
  <c r="R187" i="3"/>
  <c r="Q187" i="3"/>
  <c r="R213" i="3"/>
  <c r="Q213" i="3"/>
  <c r="R564" i="3"/>
  <c r="Q564" i="3"/>
  <c r="R544" i="3"/>
  <c r="Q544" i="3"/>
  <c r="R516" i="3"/>
  <c r="Q516" i="3"/>
  <c r="R495" i="3"/>
  <c r="Q495" i="3"/>
  <c r="R476" i="3"/>
  <c r="Q476" i="3"/>
  <c r="R451" i="3"/>
  <c r="Q451" i="3"/>
  <c r="R436" i="3"/>
  <c r="Q436" i="3"/>
  <c r="R429" i="3"/>
  <c r="Q429" i="3"/>
  <c r="R422" i="3"/>
  <c r="Q422" i="3"/>
  <c r="R408" i="3"/>
  <c r="Q408" i="3"/>
  <c r="R398" i="3"/>
  <c r="Q398" i="3"/>
  <c r="R386" i="3"/>
  <c r="Q386" i="3"/>
  <c r="R374" i="3"/>
  <c r="Q374" i="3"/>
  <c r="R338" i="3"/>
  <c r="Q338" i="3"/>
  <c r="R303" i="3"/>
  <c r="Q303" i="3"/>
  <c r="R264" i="3"/>
  <c r="Q264" i="3"/>
  <c r="R249" i="3"/>
  <c r="Q249" i="3"/>
  <c r="R227" i="3"/>
  <c r="Q227" i="3"/>
  <c r="R216" i="3"/>
  <c r="Q216" i="3"/>
  <c r="R192" i="3"/>
  <c r="Q192" i="3"/>
  <c r="R176" i="3"/>
  <c r="Q176" i="3"/>
  <c r="R155" i="3"/>
  <c r="Q155" i="3"/>
  <c r="R151" i="3"/>
  <c r="Q151" i="3"/>
  <c r="R141" i="3"/>
  <c r="Q141" i="3"/>
  <c r="R135" i="3"/>
  <c r="Q135" i="3"/>
  <c r="R124" i="3"/>
  <c r="Q124" i="3"/>
  <c r="R91" i="3"/>
  <c r="Q91" i="3"/>
  <c r="R75" i="3"/>
  <c r="Q75" i="3"/>
  <c r="R63" i="3"/>
  <c r="Q63" i="3"/>
  <c r="R53" i="3"/>
  <c r="Q53" i="3"/>
  <c r="R20" i="3"/>
  <c r="Q20" i="3"/>
  <c r="R11" i="3"/>
  <c r="Q11" i="3"/>
  <c r="R16" i="3"/>
  <c r="Q16" i="3"/>
  <c r="R23" i="3"/>
  <c r="Q23" i="3"/>
  <c r="R27" i="3"/>
  <c r="Q27" i="3"/>
  <c r="R32" i="3"/>
  <c r="Q32" i="3"/>
  <c r="R38" i="3"/>
  <c r="Q38" i="3"/>
  <c r="R42" i="3"/>
  <c r="Q42" i="3"/>
  <c r="R46" i="3"/>
  <c r="Q46" i="3"/>
  <c r="R50" i="3"/>
  <c r="Q50" i="3"/>
  <c r="R55" i="3"/>
  <c r="Q55" i="3"/>
  <c r="R62" i="3"/>
  <c r="Q62" i="3"/>
  <c r="R68" i="3"/>
  <c r="Q68" i="3"/>
  <c r="R74" i="3"/>
  <c r="Q74" i="3"/>
  <c r="R81" i="3"/>
  <c r="Q81" i="3"/>
  <c r="R86" i="3"/>
  <c r="Q86" i="3"/>
  <c r="R90" i="3"/>
  <c r="Q90" i="3"/>
  <c r="R96" i="3"/>
  <c r="Q96" i="3"/>
  <c r="R100" i="3"/>
  <c r="Q100" i="3"/>
  <c r="R104" i="3"/>
  <c r="Q104" i="3"/>
  <c r="R108" i="3"/>
  <c r="Q108" i="3"/>
  <c r="R113" i="3"/>
  <c r="Q113" i="3"/>
  <c r="R118" i="3"/>
  <c r="Q118" i="3"/>
  <c r="R122" i="3"/>
  <c r="Q122" i="3"/>
  <c r="R127" i="3"/>
  <c r="Q127" i="3"/>
  <c r="R134" i="3"/>
  <c r="Q134" i="3"/>
  <c r="R143" i="3"/>
  <c r="Q143" i="3"/>
  <c r="R150" i="3"/>
  <c r="Q150" i="3"/>
  <c r="R159" i="3"/>
  <c r="Q159" i="3"/>
  <c r="R164" i="3"/>
  <c r="Q164" i="3"/>
  <c r="R168" i="3"/>
  <c r="Q168" i="3"/>
  <c r="R173" i="3"/>
  <c r="Q173" i="3"/>
  <c r="R179" i="3"/>
  <c r="Q179" i="3"/>
  <c r="R184" i="3"/>
  <c r="Q184" i="3"/>
  <c r="R189" i="3"/>
  <c r="Q189" i="3"/>
  <c r="R196" i="3"/>
  <c r="Q196" i="3"/>
  <c r="R201" i="3"/>
  <c r="Q201" i="3"/>
  <c r="R206" i="3"/>
  <c r="Q206" i="3"/>
  <c r="R210" i="3"/>
  <c r="Q210" i="3"/>
  <c r="R214" i="3"/>
  <c r="Q214" i="3"/>
  <c r="R221" i="3"/>
  <c r="Q221" i="3"/>
  <c r="R226" i="3"/>
  <c r="Q226" i="3"/>
  <c r="R231" i="3"/>
  <c r="Q231" i="3"/>
  <c r="R237" i="3"/>
  <c r="Q237" i="3"/>
  <c r="R241" i="3"/>
  <c r="Q241" i="3"/>
  <c r="R245" i="3"/>
  <c r="Q245" i="3"/>
  <c r="R251" i="3"/>
  <c r="Q251" i="3"/>
  <c r="R256" i="3"/>
  <c r="Q256" i="3"/>
  <c r="R262" i="3"/>
  <c r="Q262" i="3"/>
  <c r="R267" i="3"/>
  <c r="Q267" i="3"/>
  <c r="R271" i="3"/>
  <c r="Q271" i="3"/>
  <c r="R275" i="3"/>
  <c r="Q275" i="3"/>
  <c r="R279" i="3"/>
  <c r="Q279" i="3"/>
  <c r="R284" i="3"/>
  <c r="Q284" i="3"/>
  <c r="R289" i="3"/>
  <c r="Q289" i="3"/>
  <c r="R293" i="3"/>
  <c r="Q293" i="3"/>
  <c r="R298" i="3"/>
  <c r="Q298" i="3"/>
  <c r="R302" i="3"/>
  <c r="Q302" i="3"/>
  <c r="R307" i="3"/>
  <c r="Q307" i="3"/>
  <c r="R311" i="3"/>
  <c r="Q311" i="3"/>
  <c r="R317" i="3"/>
  <c r="Q317" i="3"/>
  <c r="R322" i="3"/>
  <c r="Q322" i="3"/>
  <c r="R326" i="3"/>
  <c r="Q326" i="3"/>
  <c r="R330" i="3"/>
  <c r="Q330" i="3"/>
  <c r="R334" i="3"/>
  <c r="Q334" i="3"/>
  <c r="R341" i="3"/>
  <c r="Q341" i="3"/>
  <c r="R345" i="3"/>
  <c r="Q345" i="3"/>
  <c r="R349" i="3"/>
  <c r="Q349" i="3"/>
  <c r="R353" i="3"/>
  <c r="Q353" i="3"/>
  <c r="R357" i="3"/>
  <c r="Q357" i="3"/>
  <c r="R361" i="3"/>
  <c r="Q361" i="3"/>
  <c r="R366" i="3"/>
  <c r="Q366" i="3"/>
  <c r="R370" i="3"/>
  <c r="Q370" i="3"/>
  <c r="R375" i="3"/>
  <c r="Q375" i="3"/>
  <c r="R381" i="3"/>
  <c r="Q381" i="3"/>
  <c r="R388" i="3"/>
  <c r="Q388" i="3"/>
  <c r="R392" i="3"/>
  <c r="Q392" i="3"/>
  <c r="R401" i="3"/>
  <c r="Q401" i="3"/>
  <c r="R406" i="3"/>
  <c r="Q406" i="3"/>
  <c r="R412" i="3"/>
  <c r="Q412" i="3"/>
  <c r="R417" i="3"/>
  <c r="Q417" i="3"/>
  <c r="R423" i="3"/>
  <c r="Q423" i="3"/>
  <c r="R431" i="3"/>
  <c r="Q431" i="3"/>
  <c r="R439" i="3"/>
  <c r="Q439" i="3"/>
  <c r="R445" i="3"/>
  <c r="Q445" i="3"/>
  <c r="R450" i="3"/>
  <c r="Q450" i="3"/>
  <c r="R456" i="3"/>
  <c r="Q456" i="3"/>
  <c r="R461" i="3"/>
  <c r="Q461" i="3"/>
  <c r="R465" i="3"/>
  <c r="Q465" i="3"/>
  <c r="R470" i="3"/>
  <c r="Q470" i="3"/>
  <c r="R474" i="3"/>
  <c r="Q474" i="3"/>
  <c r="R479" i="3"/>
  <c r="Q479" i="3"/>
  <c r="R494" i="3"/>
  <c r="Q494" i="3"/>
  <c r="R501" i="3"/>
  <c r="Q501" i="3"/>
  <c r="R506" i="3"/>
  <c r="Q506" i="3"/>
  <c r="R510" i="3"/>
  <c r="Q510" i="3"/>
  <c r="R514" i="3"/>
  <c r="Q514" i="3"/>
  <c r="R520" i="3"/>
  <c r="Q520" i="3"/>
  <c r="R525" i="3"/>
  <c r="Q525" i="3"/>
  <c r="R531" i="3"/>
  <c r="Q531" i="3"/>
  <c r="R533" i="3"/>
  <c r="Q533" i="3"/>
  <c r="R540" i="3"/>
  <c r="Q540" i="3"/>
  <c r="R546" i="3"/>
  <c r="Q546" i="3"/>
  <c r="R550" i="3"/>
  <c r="Q550" i="3"/>
  <c r="R556" i="3"/>
  <c r="Q556" i="3"/>
  <c r="R560" i="3"/>
  <c r="Q560" i="3"/>
  <c r="R555" i="3"/>
  <c r="Q555" i="3"/>
  <c r="R571" i="3"/>
  <c r="Q571" i="3"/>
  <c r="R573" i="3"/>
  <c r="Q573" i="3"/>
  <c r="R577" i="3"/>
  <c r="Q577" i="3"/>
  <c r="R584" i="3"/>
  <c r="Q584" i="3"/>
  <c r="E1123" i="12"/>
  <c r="E1122" i="12"/>
  <c r="E1121" i="12"/>
  <c r="E1120" i="12"/>
  <c r="E1095" i="12"/>
  <c r="E1047" i="12"/>
  <c r="E1046" i="12"/>
  <c r="E1045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884" i="12"/>
  <c r="E885" i="12"/>
  <c r="E604" i="12"/>
  <c r="E603" i="12"/>
  <c r="E591" i="12"/>
  <c r="E590" i="12"/>
  <c r="E589" i="12"/>
  <c r="E588" i="12"/>
  <c r="E587" i="12"/>
  <c r="E586" i="12"/>
  <c r="E585" i="12"/>
  <c r="E584" i="12"/>
  <c r="E580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1" i="12"/>
  <c r="E560" i="12"/>
  <c r="E559" i="12"/>
  <c r="E384" i="12"/>
  <c r="E38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41" i="12"/>
  <c r="E40" i="12"/>
  <c r="Q133" i="12" l="1"/>
  <c r="R133" i="12"/>
  <c r="Q134" i="12"/>
  <c r="R134" i="12"/>
  <c r="F584" i="3"/>
  <c r="G584" i="3" s="1"/>
  <c r="C584" i="3"/>
  <c r="S584" i="3"/>
  <c r="T584" i="3"/>
  <c r="Q132" i="12"/>
  <c r="R132" i="12"/>
  <c r="F583" i="3"/>
  <c r="G583" i="3" s="1"/>
  <c r="C583" i="3"/>
  <c r="S583" i="3"/>
  <c r="T583" i="3"/>
  <c r="Q895" i="12"/>
  <c r="R895" i="12"/>
  <c r="Q896" i="12"/>
  <c r="R896" i="12"/>
  <c r="Q889" i="12"/>
  <c r="R889" i="12"/>
  <c r="Q890" i="12"/>
  <c r="R890" i="12"/>
  <c r="Q891" i="12"/>
  <c r="R891" i="12"/>
  <c r="Q892" i="12"/>
  <c r="R892" i="12"/>
  <c r="Q893" i="12"/>
  <c r="R893" i="12"/>
  <c r="Q894" i="12"/>
  <c r="R894" i="12"/>
  <c r="F579" i="3"/>
  <c r="G579" i="3" s="1"/>
  <c r="C579" i="3"/>
  <c r="S579" i="3"/>
  <c r="T579" i="3"/>
  <c r="C539" i="3"/>
  <c r="G539" i="3"/>
  <c r="S539" i="3"/>
  <c r="T539" i="3"/>
  <c r="Q1144" i="12"/>
  <c r="Q1145" i="12"/>
  <c r="R1144" i="12"/>
  <c r="R1145" i="12"/>
  <c r="Q1143" i="12"/>
  <c r="R1143" i="12"/>
  <c r="Q1141" i="12"/>
  <c r="Q1142" i="12"/>
  <c r="R1141" i="12"/>
  <c r="R1142" i="12"/>
  <c r="Q1140" i="12"/>
  <c r="R1140" i="12"/>
  <c r="Q1139" i="12"/>
  <c r="R1139" i="12"/>
  <c r="Q1138" i="12"/>
  <c r="R1138" i="12"/>
  <c r="Q1137" i="12"/>
  <c r="R1137" i="12"/>
  <c r="Q1134" i="12"/>
  <c r="Q1135" i="12"/>
  <c r="Q1136" i="12"/>
  <c r="R1134" i="12"/>
  <c r="R1135" i="12"/>
  <c r="R1136" i="12"/>
  <c r="Q1133" i="12"/>
  <c r="R1133" i="12"/>
  <c r="Q1131" i="12"/>
  <c r="Q1132" i="12"/>
  <c r="R1131" i="12"/>
  <c r="R1132" i="12"/>
  <c r="Q1128" i="12"/>
  <c r="Q1129" i="12"/>
  <c r="Q1130" i="12"/>
  <c r="R1128" i="12"/>
  <c r="R1129" i="12"/>
  <c r="R1130" i="12"/>
  <c r="Q1127" i="12"/>
  <c r="R1127" i="12"/>
  <c r="C522" i="3"/>
  <c r="G522" i="3"/>
  <c r="S522" i="3"/>
  <c r="T522" i="3"/>
  <c r="C582" i="3"/>
  <c r="G582" i="3"/>
  <c r="S582" i="3"/>
  <c r="T582" i="3"/>
  <c r="F574" i="3"/>
  <c r="G574" i="3" s="1"/>
  <c r="C574" i="3"/>
  <c r="S574" i="3"/>
  <c r="T574" i="3"/>
  <c r="Q123" i="12"/>
  <c r="Q126" i="12"/>
  <c r="R126" i="12"/>
  <c r="Q127" i="12"/>
  <c r="R127" i="12"/>
  <c r="Q128" i="12"/>
  <c r="R128" i="12"/>
  <c r="Q129" i="12"/>
  <c r="R129" i="12"/>
  <c r="Q130" i="12"/>
  <c r="R130" i="12"/>
  <c r="Q131" i="12"/>
  <c r="R131" i="12"/>
  <c r="Q831" i="12"/>
  <c r="R831" i="12"/>
  <c r="Q838" i="12"/>
  <c r="R838" i="12"/>
  <c r="Q125" i="12"/>
  <c r="F577" i="3"/>
  <c r="G577" i="3" s="1"/>
  <c r="C577" i="3"/>
  <c r="S577" i="3"/>
  <c r="T577" i="3"/>
  <c r="F578" i="3"/>
  <c r="G578" i="3" s="1"/>
  <c r="C578" i="3"/>
  <c r="S578" i="3"/>
  <c r="T578" i="3"/>
  <c r="H56" i="9"/>
  <c r="H55" i="9"/>
  <c r="AC83" i="15"/>
  <c r="AB83" i="15"/>
  <c r="AA83" i="15"/>
  <c r="Z83" i="15"/>
  <c r="Y83" i="15"/>
  <c r="X83" i="15"/>
  <c r="W83" i="15"/>
  <c r="V83" i="15"/>
  <c r="U83" i="15"/>
  <c r="T83" i="15"/>
  <c r="S83" i="15"/>
  <c r="R83" i="15"/>
  <c r="AC65" i="15"/>
  <c r="AB65" i="15"/>
  <c r="AA65" i="15"/>
  <c r="Z65" i="15"/>
  <c r="Y65" i="15"/>
  <c r="W65" i="15"/>
  <c r="V65" i="15"/>
  <c r="U65" i="15"/>
  <c r="T65" i="15"/>
  <c r="S65" i="15"/>
  <c r="R65" i="15"/>
  <c r="Q886" i="12"/>
  <c r="R886" i="12"/>
  <c r="F575" i="3"/>
  <c r="G575" i="3" s="1"/>
  <c r="C575" i="3"/>
  <c r="S575" i="3"/>
  <c r="T575" i="3"/>
  <c r="Q884" i="12"/>
  <c r="R884" i="12"/>
  <c r="Q885" i="12"/>
  <c r="R885" i="12"/>
  <c r="Q124" i="12"/>
  <c r="R124" i="12"/>
  <c r="F576" i="3"/>
  <c r="G576" i="3" s="1"/>
  <c r="C576" i="3"/>
  <c r="S576" i="3"/>
  <c r="T576" i="3"/>
  <c r="F573" i="3"/>
  <c r="G573" i="3" s="1"/>
  <c r="C573" i="3"/>
  <c r="S573" i="3"/>
  <c r="T573" i="3"/>
  <c r="C570" i="3"/>
  <c r="G570" i="3"/>
  <c r="S570" i="3"/>
  <c r="T570" i="3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C544" i="3"/>
  <c r="G544" i="3"/>
  <c r="S544" i="3"/>
  <c r="T544" i="3"/>
  <c r="C440" i="3"/>
  <c r="G440" i="3"/>
  <c r="S440" i="3"/>
  <c r="T440" i="3"/>
  <c r="C441" i="3"/>
  <c r="G441" i="3"/>
  <c r="S441" i="3"/>
  <c r="T441" i="3"/>
  <c r="C458" i="3"/>
  <c r="G458" i="3"/>
  <c r="S458" i="3"/>
  <c r="T458" i="3"/>
  <c r="C466" i="3"/>
  <c r="G466" i="3"/>
  <c r="S466" i="3"/>
  <c r="T466" i="3"/>
  <c r="C537" i="3"/>
  <c r="G537" i="3"/>
  <c r="F569" i="3"/>
  <c r="G569" i="3" s="1"/>
  <c r="C569" i="3"/>
  <c r="H105" i="15" s="1"/>
  <c r="S569" i="3"/>
  <c r="T569" i="3"/>
  <c r="Q422" i="12"/>
  <c r="R422" i="12"/>
  <c r="Q423" i="12"/>
  <c r="R423" i="12"/>
  <c r="Q424" i="12"/>
  <c r="R424" i="12"/>
  <c r="F572" i="3"/>
  <c r="G572" i="3" s="1"/>
  <c r="C572" i="3"/>
  <c r="S572" i="3"/>
  <c r="T572" i="3"/>
  <c r="Q1173" i="12"/>
  <c r="R1173" i="12"/>
  <c r="Q1172" i="12"/>
  <c r="R1172" i="12"/>
  <c r="Q1171" i="12"/>
  <c r="R1171" i="12"/>
  <c r="Q1170" i="12"/>
  <c r="R1170" i="12"/>
  <c r="Q1169" i="12"/>
  <c r="R1169" i="12"/>
  <c r="F568" i="3"/>
  <c r="G568" i="3" s="1"/>
  <c r="C568" i="3"/>
  <c r="S568" i="3"/>
  <c r="T568" i="3"/>
  <c r="Q883" i="12"/>
  <c r="R883" i="12"/>
  <c r="Q876" i="12"/>
  <c r="R876" i="12"/>
  <c r="Q877" i="12"/>
  <c r="R877" i="12"/>
  <c r="Q878" i="12"/>
  <c r="R878" i="12"/>
  <c r="Q879" i="12"/>
  <c r="R879" i="12"/>
  <c r="Q880" i="12"/>
  <c r="R880" i="12"/>
  <c r="Q881" i="12"/>
  <c r="R881" i="12"/>
  <c r="Q897" i="12"/>
  <c r="R897" i="12"/>
  <c r="Q1168" i="12"/>
  <c r="R1168" i="12"/>
  <c r="Q1167" i="12"/>
  <c r="R1167" i="12"/>
  <c r="F571" i="3"/>
  <c r="G571" i="3" s="1"/>
  <c r="C571" i="3"/>
  <c r="S571" i="3"/>
  <c r="T571" i="3"/>
  <c r="F567" i="3"/>
  <c r="G567" i="3" s="1"/>
  <c r="C567" i="3"/>
  <c r="S567" i="3"/>
  <c r="T567" i="3"/>
  <c r="F566" i="3"/>
  <c r="G566" i="3" s="1"/>
  <c r="C566" i="3"/>
  <c r="S566" i="3"/>
  <c r="T566" i="3"/>
  <c r="F555" i="3"/>
  <c r="G555" i="3" s="1"/>
  <c r="C555" i="3"/>
  <c r="S555" i="3"/>
  <c r="T555" i="3"/>
  <c r="G8" i="3"/>
  <c r="C8" i="3"/>
  <c r="S8" i="3"/>
  <c r="T8" i="3"/>
  <c r="F533" i="3"/>
  <c r="G533" i="3" s="1"/>
  <c r="C533" i="3"/>
  <c r="S533" i="3"/>
  <c r="T533" i="3"/>
  <c r="F534" i="3"/>
  <c r="G534" i="3" s="1"/>
  <c r="C534" i="3"/>
  <c r="S534" i="3"/>
  <c r="T534" i="3"/>
  <c r="F530" i="3"/>
  <c r="G530" i="3" s="1"/>
  <c r="C530" i="3"/>
  <c r="S530" i="3"/>
  <c r="T530" i="3"/>
  <c r="F528" i="3"/>
  <c r="G528" i="3" s="1"/>
  <c r="C528" i="3"/>
  <c r="S528" i="3"/>
  <c r="T528" i="3"/>
  <c r="C105" i="15" l="1"/>
  <c r="D105" i="15"/>
  <c r="G105" i="15"/>
  <c r="N105" i="15"/>
  <c r="K105" i="15"/>
  <c r="J105" i="15"/>
  <c r="E105" i="15"/>
  <c r="M105" i="15"/>
  <c r="I105" i="15"/>
  <c r="F105" i="15"/>
  <c r="L105" i="15"/>
  <c r="O120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N41" i="15"/>
  <c r="M41" i="15"/>
  <c r="L41" i="15"/>
  <c r="K41" i="15"/>
  <c r="J41" i="15"/>
  <c r="H41" i="15"/>
  <c r="G41" i="15"/>
  <c r="F41" i="15"/>
  <c r="E41" i="15"/>
  <c r="D41" i="15"/>
  <c r="C41" i="15"/>
  <c r="Q421" i="12"/>
  <c r="R421" i="12"/>
  <c r="F559" i="3"/>
  <c r="G559" i="3" s="1"/>
  <c r="C559" i="3"/>
  <c r="S559" i="3"/>
  <c r="T559" i="3"/>
  <c r="Q828" i="12"/>
  <c r="R828" i="12"/>
  <c r="F558" i="3"/>
  <c r="G558" i="3" s="1"/>
  <c r="C558" i="3"/>
  <c r="S558" i="3"/>
  <c r="T558" i="3"/>
  <c r="Q821" i="12"/>
  <c r="R821" i="12"/>
  <c r="F557" i="3"/>
  <c r="G557" i="3" s="1"/>
  <c r="C557" i="3"/>
  <c r="S557" i="3"/>
  <c r="T557" i="3"/>
  <c r="Q873" i="12"/>
  <c r="R873" i="12"/>
  <c r="F556" i="3"/>
  <c r="G556" i="3" s="1"/>
  <c r="C556" i="3"/>
  <c r="S556" i="3"/>
  <c r="T556" i="3"/>
  <c r="Q872" i="12"/>
  <c r="R872" i="12"/>
  <c r="F554" i="3"/>
  <c r="G554" i="3" s="1"/>
  <c r="C554" i="3"/>
  <c r="D128" i="15" s="1"/>
  <c r="S554" i="3"/>
  <c r="T554" i="3"/>
  <c r="E558" i="12"/>
  <c r="E98" i="12"/>
  <c r="Q871" i="12"/>
  <c r="R871" i="12"/>
  <c r="C553" i="3"/>
  <c r="S553" i="3"/>
  <c r="T553" i="3"/>
  <c r="Q1166" i="12"/>
  <c r="R1166" i="12"/>
  <c r="G565" i="3"/>
  <c r="C565" i="3"/>
  <c r="S565" i="3"/>
  <c r="T565" i="3"/>
  <c r="Q1165" i="12"/>
  <c r="R1165" i="12"/>
  <c r="Q1164" i="12"/>
  <c r="R1164" i="12"/>
  <c r="Q1163" i="12"/>
  <c r="R1163" i="12"/>
  <c r="Q1162" i="12"/>
  <c r="R1162" i="12"/>
  <c r="Q1161" i="12"/>
  <c r="R1161" i="12"/>
  <c r="Q1160" i="12"/>
  <c r="R1160" i="12"/>
  <c r="Q1159" i="12"/>
  <c r="R1159" i="12"/>
  <c r="Q1158" i="12"/>
  <c r="R1158" i="12"/>
  <c r="Q1157" i="12"/>
  <c r="R1157" i="12"/>
  <c r="G564" i="3"/>
  <c r="C564" i="3"/>
  <c r="S564" i="3"/>
  <c r="T564" i="3"/>
  <c r="Q120" i="12"/>
  <c r="R120" i="12"/>
  <c r="F560" i="3"/>
  <c r="G560" i="3" s="1"/>
  <c r="C560" i="3"/>
  <c r="S560" i="3"/>
  <c r="T560" i="3"/>
  <c r="Q937" i="12"/>
  <c r="R937" i="12"/>
  <c r="F552" i="3"/>
  <c r="G552" i="3" s="1"/>
  <c r="C552" i="3"/>
  <c r="S552" i="3"/>
  <c r="T552" i="3"/>
  <c r="Q1156" i="12"/>
  <c r="R1156" i="12"/>
  <c r="F563" i="3"/>
  <c r="G563" i="3" s="1"/>
  <c r="C563" i="3"/>
  <c r="S563" i="3"/>
  <c r="T563" i="3"/>
  <c r="Q1155" i="12"/>
  <c r="R1155" i="12"/>
  <c r="F562" i="3"/>
  <c r="G562" i="3" s="1"/>
  <c r="C562" i="3"/>
  <c r="S562" i="3"/>
  <c r="T562" i="3"/>
  <c r="C497" i="3"/>
  <c r="G497" i="3"/>
  <c r="S497" i="3"/>
  <c r="T497" i="3"/>
  <c r="Q122" i="12"/>
  <c r="R122" i="12"/>
  <c r="F594" i="3"/>
  <c r="G594" i="3" s="1"/>
  <c r="C594" i="3"/>
  <c r="C106" i="15" s="1"/>
  <c r="S594" i="3"/>
  <c r="T594" i="3"/>
  <c r="Q1154" i="12"/>
  <c r="R1154" i="12"/>
  <c r="F561" i="3"/>
  <c r="G561" i="3" s="1"/>
  <c r="C561" i="3"/>
  <c r="S561" i="3"/>
  <c r="T561" i="3"/>
  <c r="Q410" i="12"/>
  <c r="R410" i="12"/>
  <c r="Q411" i="12"/>
  <c r="R411" i="12"/>
  <c r="Q412" i="12"/>
  <c r="R412" i="12"/>
  <c r="Q413" i="12"/>
  <c r="R413" i="12"/>
  <c r="Q414" i="12"/>
  <c r="R414" i="12"/>
  <c r="Q415" i="12"/>
  <c r="R415" i="12"/>
  <c r="Q416" i="12"/>
  <c r="R416" i="12"/>
  <c r="Q417" i="12"/>
  <c r="R417" i="12"/>
  <c r="Q418" i="12"/>
  <c r="R418" i="12"/>
  <c r="Q419" i="12"/>
  <c r="R419" i="12"/>
  <c r="Q420" i="12"/>
  <c r="R420" i="12"/>
  <c r="F550" i="3"/>
  <c r="G550" i="3" s="1"/>
  <c r="C550" i="3"/>
  <c r="S550" i="3"/>
  <c r="T550" i="3"/>
  <c r="Q381" i="12"/>
  <c r="R381" i="12"/>
  <c r="Q382" i="12"/>
  <c r="R382" i="12"/>
  <c r="Q383" i="12"/>
  <c r="R383" i="12"/>
  <c r="Q384" i="12"/>
  <c r="R384" i="12"/>
  <c r="Q385" i="12"/>
  <c r="R385" i="12"/>
  <c r="G408" i="3"/>
  <c r="C408" i="3"/>
  <c r="S408" i="3"/>
  <c r="T408" i="3"/>
  <c r="Q118" i="12"/>
  <c r="R118" i="12"/>
  <c r="Q119" i="12"/>
  <c r="R119" i="12"/>
  <c r="F551" i="3"/>
  <c r="G551" i="3" s="1"/>
  <c r="C551" i="3"/>
  <c r="S551" i="3"/>
  <c r="T551" i="3"/>
  <c r="Q907" i="12"/>
  <c r="R907" i="12"/>
  <c r="Q915" i="12"/>
  <c r="R915" i="12"/>
  <c r="F549" i="3"/>
  <c r="G549" i="3" s="1"/>
  <c r="C549" i="3"/>
  <c r="S549" i="3"/>
  <c r="T549" i="3"/>
  <c r="F548" i="3"/>
  <c r="G548" i="3" s="1"/>
  <c r="C548" i="3"/>
  <c r="S548" i="3"/>
  <c r="T548" i="3"/>
  <c r="Q407" i="12"/>
  <c r="R407" i="12"/>
  <c r="Q408" i="12"/>
  <c r="R408" i="12"/>
  <c r="Q409" i="12"/>
  <c r="R409" i="12"/>
  <c r="F547" i="3"/>
  <c r="G547" i="3" s="1"/>
  <c r="C547" i="3"/>
  <c r="S547" i="3"/>
  <c r="T547" i="3"/>
  <c r="Q867" i="12"/>
  <c r="R867" i="12"/>
  <c r="F546" i="3"/>
  <c r="G546" i="3" s="1"/>
  <c r="C546" i="3"/>
  <c r="S546" i="3"/>
  <c r="T546" i="3"/>
  <c r="Q866" i="12"/>
  <c r="R866" i="12"/>
  <c r="Q865" i="12"/>
  <c r="R865" i="12"/>
  <c r="Q850" i="12"/>
  <c r="R850" i="12"/>
  <c r="Q851" i="12"/>
  <c r="R851" i="12"/>
  <c r="Q852" i="12"/>
  <c r="R852" i="12"/>
  <c r="Q853" i="12"/>
  <c r="R853" i="12"/>
  <c r="Q854" i="12"/>
  <c r="R854" i="12"/>
  <c r="Q855" i="12"/>
  <c r="R855" i="12"/>
  <c r="Q856" i="12"/>
  <c r="R856" i="12"/>
  <c r="Q857" i="12"/>
  <c r="R857" i="12"/>
  <c r="Q858" i="12"/>
  <c r="R858" i="12"/>
  <c r="Q859" i="12"/>
  <c r="R859" i="12"/>
  <c r="Q860" i="12"/>
  <c r="R860" i="12"/>
  <c r="Q861" i="12"/>
  <c r="R861" i="12"/>
  <c r="Q862" i="12"/>
  <c r="R862" i="12"/>
  <c r="Q863" i="12"/>
  <c r="R863" i="12"/>
  <c r="Q864" i="12"/>
  <c r="R864" i="12"/>
  <c r="G545" i="3"/>
  <c r="C545" i="3"/>
  <c r="S545" i="3"/>
  <c r="T545" i="3"/>
  <c r="F543" i="3"/>
  <c r="G543" i="3" s="1"/>
  <c r="F542" i="3"/>
  <c r="G542" i="3" s="1"/>
  <c r="F541" i="3"/>
  <c r="G541" i="3" s="1"/>
  <c r="F540" i="3"/>
  <c r="G540" i="3" s="1"/>
  <c r="F538" i="3"/>
  <c r="G538" i="3" s="1"/>
  <c r="F536" i="3"/>
  <c r="G536" i="3" s="1"/>
  <c r="F523" i="3"/>
  <c r="G523" i="3" s="1"/>
  <c r="F524" i="3"/>
  <c r="G524" i="3" s="1"/>
  <c r="F525" i="3"/>
  <c r="G525" i="3" s="1"/>
  <c r="F529" i="3"/>
  <c r="G529" i="3" s="1"/>
  <c r="F531" i="3"/>
  <c r="G531" i="3" s="1"/>
  <c r="F532" i="3"/>
  <c r="G532" i="3" s="1"/>
  <c r="F526" i="3"/>
  <c r="G526" i="3" s="1"/>
  <c r="F527" i="3"/>
  <c r="G527" i="3" s="1"/>
  <c r="F518" i="3"/>
  <c r="G518" i="3" s="1"/>
  <c r="F520" i="3"/>
  <c r="F517" i="3"/>
  <c r="F515" i="3"/>
  <c r="F514" i="3"/>
  <c r="F513" i="3"/>
  <c r="F512" i="3"/>
  <c r="F511" i="3"/>
  <c r="F510" i="3"/>
  <c r="F509" i="3"/>
  <c r="F508" i="3"/>
  <c r="F507" i="3"/>
  <c r="F506" i="3"/>
  <c r="F504" i="3"/>
  <c r="F502" i="3"/>
  <c r="F501" i="3"/>
  <c r="F500" i="3"/>
  <c r="F498" i="3"/>
  <c r="F494" i="3"/>
  <c r="F493" i="3"/>
  <c r="F491" i="3"/>
  <c r="F490" i="3"/>
  <c r="F489" i="3"/>
  <c r="F488" i="3"/>
  <c r="F487" i="3"/>
  <c r="O486" i="3"/>
  <c r="F484" i="3"/>
  <c r="F483" i="3"/>
  <c r="F481" i="3"/>
  <c r="F479" i="3"/>
  <c r="F478" i="3"/>
  <c r="F477" i="3"/>
  <c r="F475" i="3"/>
  <c r="F474" i="3"/>
  <c r="F472" i="3"/>
  <c r="F471" i="3"/>
  <c r="F470" i="3"/>
  <c r="F469" i="3"/>
  <c r="F468" i="3"/>
  <c r="F467" i="3"/>
  <c r="F465" i="3"/>
  <c r="F464" i="3"/>
  <c r="F463" i="3"/>
  <c r="F462" i="3"/>
  <c r="F461" i="3"/>
  <c r="F460" i="3"/>
  <c r="F459" i="3"/>
  <c r="F456" i="3"/>
  <c r="F454" i="3"/>
  <c r="F453" i="3"/>
  <c r="F450" i="3"/>
  <c r="F449" i="3"/>
  <c r="F447" i="3"/>
  <c r="F446" i="3"/>
  <c r="F445" i="3"/>
  <c r="F444" i="3"/>
  <c r="F443" i="3"/>
  <c r="F442" i="3"/>
  <c r="F439" i="3"/>
  <c r="F438" i="3"/>
  <c r="F437" i="3"/>
  <c r="F432" i="3"/>
  <c r="F431" i="3"/>
  <c r="F430" i="3"/>
  <c r="F428" i="3"/>
  <c r="F420" i="3"/>
  <c r="F419" i="3"/>
  <c r="F418" i="3"/>
  <c r="F417" i="3"/>
  <c r="F416" i="3"/>
  <c r="F414" i="3"/>
  <c r="F413" i="3"/>
  <c r="F412" i="3"/>
  <c r="F409" i="3"/>
  <c r="F407" i="3"/>
  <c r="F406" i="3"/>
  <c r="F404" i="3"/>
  <c r="F402" i="3"/>
  <c r="F401" i="3"/>
  <c r="F397" i="3"/>
  <c r="F396" i="3"/>
  <c r="F394" i="3"/>
  <c r="F392" i="3"/>
  <c r="F391" i="3"/>
  <c r="F390" i="3"/>
  <c r="F389" i="3"/>
  <c r="F388" i="3"/>
  <c r="F383" i="3"/>
  <c r="F382" i="3"/>
  <c r="F381" i="3"/>
  <c r="F379" i="3"/>
  <c r="F378" i="3"/>
  <c r="F375" i="3"/>
  <c r="F373" i="3"/>
  <c r="F371" i="3"/>
  <c r="F370" i="3"/>
  <c r="F369" i="3"/>
  <c r="F368" i="3"/>
  <c r="F367" i="3"/>
  <c r="F366" i="3"/>
  <c r="F365" i="3"/>
  <c r="F364" i="3"/>
  <c r="F363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1" i="3"/>
  <c r="F337" i="3"/>
  <c r="F336" i="3"/>
  <c r="F335" i="3"/>
  <c r="F334" i="3"/>
  <c r="F333" i="3"/>
  <c r="F332" i="3"/>
  <c r="F331" i="3"/>
  <c r="F330" i="3"/>
  <c r="F329" i="3"/>
  <c r="G329" i="3" s="1"/>
  <c r="F327" i="3"/>
  <c r="F326" i="3"/>
  <c r="F325" i="3"/>
  <c r="F324" i="3"/>
  <c r="F322" i="3"/>
  <c r="F320" i="3"/>
  <c r="F319" i="3"/>
  <c r="F318" i="3"/>
  <c r="F317" i="3"/>
  <c r="F316" i="3"/>
  <c r="F314" i="3"/>
  <c r="F313" i="3"/>
  <c r="F311" i="3"/>
  <c r="F310" i="3"/>
  <c r="F309" i="3"/>
  <c r="F308" i="3"/>
  <c r="F307" i="3"/>
  <c r="F306" i="3"/>
  <c r="F305" i="3"/>
  <c r="F304" i="3"/>
  <c r="F302" i="3"/>
  <c r="F297" i="3"/>
  <c r="F295" i="3"/>
  <c r="F293" i="3"/>
  <c r="F292" i="3"/>
  <c r="F291" i="3"/>
  <c r="F290" i="3"/>
  <c r="F289" i="3"/>
  <c r="F288" i="3"/>
  <c r="F286" i="3"/>
  <c r="F285" i="3"/>
  <c r="F281" i="3"/>
  <c r="F280" i="3"/>
  <c r="F279" i="3"/>
  <c r="F278" i="3"/>
  <c r="F277" i="3"/>
  <c r="F276" i="3"/>
  <c r="F274" i="3"/>
  <c r="F273" i="3"/>
  <c r="F272" i="3"/>
  <c r="F270" i="3"/>
  <c r="F267" i="3"/>
  <c r="F266" i="3"/>
  <c r="F263" i="3"/>
  <c r="F255" i="3"/>
  <c r="F253" i="3"/>
  <c r="F245" i="3"/>
  <c r="F244" i="3"/>
  <c r="F240" i="3"/>
  <c r="F239" i="3"/>
  <c r="F234" i="3"/>
  <c r="F233" i="3"/>
  <c r="F230" i="3"/>
  <c r="F223" i="3"/>
  <c r="F213" i="3"/>
  <c r="F212" i="3"/>
  <c r="F211" i="3"/>
  <c r="F210" i="3"/>
  <c r="F209" i="3"/>
  <c r="F208" i="3"/>
  <c r="F207" i="3"/>
  <c r="F202" i="3"/>
  <c r="F201" i="3"/>
  <c r="F200" i="3"/>
  <c r="F199" i="3"/>
  <c r="F198" i="3"/>
  <c r="F195" i="3"/>
  <c r="F186" i="3"/>
  <c r="F184" i="3"/>
  <c r="F164" i="3"/>
  <c r="F143" i="3"/>
  <c r="F142" i="3"/>
  <c r="F139" i="3"/>
  <c r="F126" i="3"/>
  <c r="F123" i="3"/>
  <c r="F103" i="3"/>
  <c r="Q1153" i="12"/>
  <c r="R1153" i="12"/>
  <c r="C543" i="3"/>
  <c r="S543" i="3"/>
  <c r="T543" i="3"/>
  <c r="Q1152" i="12"/>
  <c r="R1152" i="12"/>
  <c r="C542" i="3"/>
  <c r="S542" i="3"/>
  <c r="T542" i="3"/>
  <c r="C535" i="3"/>
  <c r="G535" i="3"/>
  <c r="S535" i="3"/>
  <c r="T535" i="3"/>
  <c r="F503" i="3"/>
  <c r="F328" i="3"/>
  <c r="F301" i="3"/>
  <c r="F300" i="3"/>
  <c r="F299" i="3"/>
  <c r="F298" i="3"/>
  <c r="F275" i="3"/>
  <c r="F268" i="3"/>
  <c r="F260" i="3"/>
  <c r="F243" i="3"/>
  <c r="F229" i="3"/>
  <c r="F189" i="3"/>
  <c r="F178" i="3"/>
  <c r="F147" i="3"/>
  <c r="F114" i="3"/>
  <c r="F108" i="3"/>
  <c r="F104" i="3"/>
  <c r="F62" i="3"/>
  <c r="F52" i="3"/>
  <c r="F31" i="3"/>
  <c r="F26" i="3"/>
  <c r="Q1151" i="12"/>
  <c r="R1151" i="12"/>
  <c r="Q1150" i="12"/>
  <c r="R1150" i="12"/>
  <c r="Q1149" i="12"/>
  <c r="R1149" i="12"/>
  <c r="Q1148" i="12"/>
  <c r="R1148" i="12"/>
  <c r="Q1147" i="12"/>
  <c r="R1147" i="12"/>
  <c r="Q1146" i="12"/>
  <c r="R1146" i="12"/>
  <c r="C536" i="3"/>
  <c r="S536" i="3"/>
  <c r="T536" i="3"/>
  <c r="Q849" i="12"/>
  <c r="R849" i="12"/>
  <c r="C541" i="3"/>
  <c r="S541" i="3"/>
  <c r="T541" i="3"/>
  <c r="C495" i="3"/>
  <c r="G495" i="3"/>
  <c r="S495" i="3"/>
  <c r="T495" i="3"/>
  <c r="Q945" i="12"/>
  <c r="R945" i="12"/>
  <c r="C540" i="3"/>
  <c r="S540" i="3"/>
  <c r="T540" i="3"/>
  <c r="Q115" i="12"/>
  <c r="R115" i="12"/>
  <c r="Q116" i="12"/>
  <c r="R116" i="12"/>
  <c r="Q117" i="12"/>
  <c r="R117" i="12"/>
  <c r="Q114" i="12"/>
  <c r="R114" i="12"/>
  <c r="C538" i="3"/>
  <c r="S538" i="3"/>
  <c r="T538" i="3"/>
  <c r="Q121" i="12"/>
  <c r="R121" i="12"/>
  <c r="Q841" i="12"/>
  <c r="R841" i="12"/>
  <c r="Q900" i="12"/>
  <c r="R900" i="12"/>
  <c r="C521" i="3"/>
  <c r="S521" i="3"/>
  <c r="T521" i="3"/>
  <c r="Q847" i="12"/>
  <c r="R847" i="12"/>
  <c r="C523" i="3"/>
  <c r="S523" i="3"/>
  <c r="T523" i="3"/>
  <c r="Q401" i="12"/>
  <c r="R401" i="12"/>
  <c r="Q402" i="12"/>
  <c r="R402" i="12"/>
  <c r="Q403" i="12"/>
  <c r="R403" i="12"/>
  <c r="Q404" i="12"/>
  <c r="R404" i="12"/>
  <c r="Q405" i="12"/>
  <c r="R405" i="12"/>
  <c r="Q406" i="12"/>
  <c r="R406" i="12"/>
  <c r="C524" i="3"/>
  <c r="S524" i="3"/>
  <c r="T524" i="3"/>
  <c r="C525" i="3"/>
  <c r="S525" i="3"/>
  <c r="T525" i="3"/>
  <c r="Q845" i="12"/>
  <c r="R845" i="12"/>
  <c r="Q846" i="12"/>
  <c r="R846" i="12"/>
  <c r="C529" i="3"/>
  <c r="S529" i="3"/>
  <c r="T529" i="3"/>
  <c r="Q844" i="12"/>
  <c r="R844" i="12"/>
  <c r="C531" i="3"/>
  <c r="S531" i="3"/>
  <c r="T531" i="3"/>
  <c r="Q830" i="12"/>
  <c r="R830" i="12"/>
  <c r="Q832" i="12"/>
  <c r="R832" i="12"/>
  <c r="Q958" i="12"/>
  <c r="R958" i="12"/>
  <c r="Q959" i="12"/>
  <c r="R959" i="12"/>
  <c r="C532" i="3"/>
  <c r="S532" i="3"/>
  <c r="T532" i="3"/>
  <c r="C526" i="3"/>
  <c r="S526" i="3"/>
  <c r="T526" i="3"/>
  <c r="C527" i="3"/>
  <c r="S527" i="3"/>
  <c r="T527" i="3"/>
  <c r="C518" i="3"/>
  <c r="S518" i="3"/>
  <c r="T518" i="3"/>
  <c r="G521" i="3" l="1"/>
  <c r="I16" i="17"/>
  <c r="O521" i="3"/>
  <c r="I17" i="17"/>
  <c r="O629" i="3"/>
  <c r="R486" i="3"/>
  <c r="Q486" i="3"/>
  <c r="G553" i="3"/>
  <c r="O553" i="3"/>
  <c r="O105" i="15"/>
  <c r="C53" i="15"/>
  <c r="M53" i="15"/>
  <c r="N53" i="15"/>
  <c r="L53" i="15"/>
  <c r="J53" i="15"/>
  <c r="K53" i="15"/>
  <c r="E53" i="15"/>
  <c r="F53" i="15"/>
  <c r="I53" i="15"/>
  <c r="G53" i="15"/>
  <c r="H53" i="15"/>
  <c r="M100" i="15"/>
  <c r="N100" i="15"/>
  <c r="K100" i="15"/>
  <c r="I100" i="15"/>
  <c r="J100" i="15"/>
  <c r="H100" i="15"/>
  <c r="E100" i="15"/>
  <c r="L100" i="15"/>
  <c r="G100" i="15"/>
  <c r="F100" i="15"/>
  <c r="C100" i="15"/>
  <c r="D53" i="15"/>
  <c r="D100" i="15"/>
  <c r="L128" i="15"/>
  <c r="M128" i="15"/>
  <c r="J128" i="15"/>
  <c r="K128" i="15"/>
  <c r="N128" i="15"/>
  <c r="G128" i="15"/>
  <c r="H128" i="15"/>
  <c r="I128" i="15"/>
  <c r="C128" i="15"/>
  <c r="F128" i="15"/>
  <c r="E128" i="15"/>
  <c r="L138" i="15"/>
  <c r="M138" i="15"/>
  <c r="J138" i="15"/>
  <c r="N138" i="15"/>
  <c r="K138" i="15"/>
  <c r="G138" i="15"/>
  <c r="H138" i="15"/>
  <c r="I138" i="15"/>
  <c r="C138" i="15"/>
  <c r="E138" i="15"/>
  <c r="F138" i="15"/>
  <c r="L106" i="15"/>
  <c r="M106" i="15"/>
  <c r="N106" i="15"/>
  <c r="K106" i="15"/>
  <c r="I106" i="15"/>
  <c r="H106" i="15"/>
  <c r="J106" i="15"/>
  <c r="D106" i="15"/>
  <c r="G106" i="15"/>
  <c r="E106" i="15"/>
  <c r="F106" i="15"/>
  <c r="D138" i="15"/>
  <c r="G459" i="3"/>
  <c r="G463" i="3"/>
  <c r="G464" i="3"/>
  <c r="G465" i="3"/>
  <c r="G477" i="3"/>
  <c r="G478" i="3"/>
  <c r="G502" i="3"/>
  <c r="G504" i="3"/>
  <c r="G505" i="3"/>
  <c r="G508" i="3"/>
  <c r="G509" i="3"/>
  <c r="G512" i="3"/>
  <c r="G513" i="3"/>
  <c r="G514" i="3"/>
  <c r="G515" i="3"/>
  <c r="G519" i="3"/>
  <c r="C512" i="3"/>
  <c r="C513" i="3"/>
  <c r="C514" i="3"/>
  <c r="C515" i="3"/>
  <c r="C519" i="3"/>
  <c r="S512" i="3"/>
  <c r="S513" i="3"/>
  <c r="S514" i="3"/>
  <c r="S515" i="3"/>
  <c r="S519" i="3"/>
  <c r="T512" i="3"/>
  <c r="T513" i="3"/>
  <c r="T514" i="3"/>
  <c r="T515" i="3"/>
  <c r="T519" i="3"/>
  <c r="C459" i="3"/>
  <c r="C463" i="3"/>
  <c r="C464" i="3"/>
  <c r="C465" i="3"/>
  <c r="C477" i="3"/>
  <c r="C478" i="3"/>
  <c r="C502" i="3"/>
  <c r="C504" i="3"/>
  <c r="C505" i="3"/>
  <c r="C508" i="3"/>
  <c r="C509" i="3"/>
  <c r="S459" i="3"/>
  <c r="S463" i="3"/>
  <c r="S464" i="3"/>
  <c r="S465" i="3"/>
  <c r="S477" i="3"/>
  <c r="S478" i="3"/>
  <c r="S502" i="3"/>
  <c r="S504" i="3"/>
  <c r="S505" i="3"/>
  <c r="S508" i="3"/>
  <c r="S509" i="3"/>
  <c r="T459" i="3"/>
  <c r="T463" i="3"/>
  <c r="T464" i="3"/>
  <c r="T465" i="3"/>
  <c r="T477" i="3"/>
  <c r="T478" i="3"/>
  <c r="T502" i="3"/>
  <c r="T504" i="3"/>
  <c r="T505" i="3"/>
  <c r="T508" i="3"/>
  <c r="T509" i="3"/>
  <c r="F218" i="3"/>
  <c r="G218" i="3" s="1"/>
  <c r="C218" i="3"/>
  <c r="S218" i="3"/>
  <c r="T218" i="3"/>
  <c r="C30" i="3"/>
  <c r="G30" i="3"/>
  <c r="S30" i="3"/>
  <c r="T30" i="3"/>
  <c r="C34" i="3"/>
  <c r="G34" i="3"/>
  <c r="S34" i="3"/>
  <c r="T34" i="3"/>
  <c r="R521" i="3" l="1"/>
  <c r="Q521" i="3"/>
  <c r="R629" i="3"/>
  <c r="Q629" i="3"/>
  <c r="R553" i="3"/>
  <c r="Q553" i="3"/>
  <c r="O53" i="15"/>
  <c r="O100" i="15"/>
  <c r="O106" i="15"/>
  <c r="O138" i="15"/>
  <c r="O128" i="15"/>
  <c r="L12" i="15"/>
  <c r="L13" i="15"/>
  <c r="L14" i="15"/>
  <c r="L15" i="15"/>
  <c r="L16" i="15"/>
  <c r="L17" i="15"/>
  <c r="L18" i="15"/>
  <c r="L19" i="15"/>
  <c r="L20" i="15"/>
  <c r="L21" i="15"/>
  <c r="L22" i="15"/>
  <c r="L11" i="15"/>
  <c r="J11" i="14"/>
  <c r="J12" i="14"/>
  <c r="J13" i="14"/>
  <c r="J14" i="14"/>
  <c r="J15" i="14"/>
  <c r="J10" i="14"/>
  <c r="D9" i="16"/>
  <c r="E9" i="16"/>
  <c r="F9" i="16"/>
  <c r="G9" i="16"/>
  <c r="H9" i="16"/>
  <c r="I9" i="16"/>
  <c r="J9" i="16"/>
  <c r="K9" i="16"/>
  <c r="L9" i="16"/>
  <c r="M9" i="16"/>
  <c r="N9" i="16"/>
  <c r="C9" i="16"/>
  <c r="H53" i="9" l="1"/>
  <c r="H47" i="9"/>
  <c r="H52" i="9"/>
  <c r="H51" i="9"/>
  <c r="H50" i="9"/>
  <c r="H49" i="9"/>
  <c r="H48" i="9"/>
  <c r="H4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7" i="9"/>
  <c r="H28" i="9"/>
  <c r="H29" i="9"/>
  <c r="H30" i="9"/>
  <c r="H31" i="9"/>
  <c r="H22" i="9"/>
  <c r="H23" i="9"/>
  <c r="H24" i="9"/>
  <c r="H25" i="9"/>
  <c r="H26" i="9"/>
  <c r="H32" i="9"/>
  <c r="H33" i="9"/>
  <c r="H34" i="9"/>
  <c r="H35" i="9"/>
  <c r="H36" i="9"/>
  <c r="H37" i="9"/>
  <c r="H38" i="9"/>
  <c r="H39" i="9"/>
  <c r="H40" i="9"/>
  <c r="H41" i="9"/>
  <c r="H42" i="9"/>
  <c r="H43" i="9"/>
  <c r="H45" i="9"/>
  <c r="H46" i="9"/>
  <c r="H54" i="9"/>
  <c r="L23" i="15"/>
  <c r="H17" i="14"/>
  <c r="G17" i="14"/>
  <c r="F17" i="14"/>
  <c r="E17" i="14"/>
  <c r="D17" i="14"/>
  <c r="C17" i="14"/>
  <c r="J16" i="14"/>
  <c r="G10" i="3" l="1"/>
  <c r="G14" i="3"/>
  <c r="G17" i="3"/>
  <c r="G20" i="3"/>
  <c r="G33" i="3"/>
  <c r="G53" i="3"/>
  <c r="G59" i="3"/>
  <c r="G60" i="3"/>
  <c r="G61" i="3"/>
  <c r="G63" i="3"/>
  <c r="G64" i="3"/>
  <c r="G72" i="3"/>
  <c r="G73" i="3"/>
  <c r="G75" i="3"/>
  <c r="G76" i="3"/>
  <c r="G77" i="3"/>
  <c r="G85" i="3"/>
  <c r="G91" i="3"/>
  <c r="G94" i="3"/>
  <c r="G110" i="3"/>
  <c r="G116" i="3"/>
  <c r="G124" i="3"/>
  <c r="G128" i="3"/>
  <c r="G132" i="3"/>
  <c r="G133" i="3"/>
  <c r="G135" i="3"/>
  <c r="G136" i="3"/>
  <c r="G137" i="3"/>
  <c r="G140" i="3"/>
  <c r="G141" i="3"/>
  <c r="G144" i="3"/>
  <c r="G146" i="3"/>
  <c r="G148" i="3"/>
  <c r="G151" i="3"/>
  <c r="G152" i="3"/>
  <c r="G153" i="3"/>
  <c r="G154" i="3"/>
  <c r="G155" i="3"/>
  <c r="G162" i="3"/>
  <c r="G170" i="3"/>
  <c r="G175" i="3"/>
  <c r="G176" i="3"/>
  <c r="G183" i="3"/>
  <c r="G188" i="3"/>
  <c r="G191" i="3"/>
  <c r="G192" i="3"/>
  <c r="G194" i="3"/>
  <c r="G197" i="3"/>
  <c r="G203" i="3"/>
  <c r="G216" i="3"/>
  <c r="G217" i="3"/>
  <c r="G220" i="3"/>
  <c r="G225" i="3"/>
  <c r="G227" i="3"/>
  <c r="G232" i="3"/>
  <c r="G236" i="3"/>
  <c r="G261" i="3"/>
  <c r="G248" i="3"/>
  <c r="G249" i="3"/>
  <c r="G254" i="3"/>
  <c r="G257" i="3"/>
  <c r="G264" i="3"/>
  <c r="G283" i="3"/>
  <c r="G287" i="3"/>
  <c r="G294" i="3"/>
  <c r="G303" i="3"/>
  <c r="G315" i="3"/>
  <c r="G321" i="3"/>
  <c r="G338" i="3"/>
  <c r="G339" i="3"/>
  <c r="G340" i="3"/>
  <c r="G353" i="3"/>
  <c r="G362" i="3"/>
  <c r="G374" i="3"/>
  <c r="G376" i="3"/>
  <c r="G377" i="3"/>
  <c r="G384" i="3"/>
  <c r="G386" i="3"/>
  <c r="G395" i="3"/>
  <c r="G398" i="3"/>
  <c r="G399" i="3"/>
  <c r="G400" i="3"/>
  <c r="G405" i="3"/>
  <c r="G412" i="3"/>
  <c r="G415" i="3"/>
  <c r="G416" i="3"/>
  <c r="G417" i="3"/>
  <c r="G418" i="3"/>
  <c r="G419" i="3"/>
  <c r="G420" i="3"/>
  <c r="G411" i="3"/>
  <c r="G421" i="3"/>
  <c r="G422" i="3"/>
  <c r="G424" i="3"/>
  <c r="G425" i="3"/>
  <c r="G427" i="3"/>
  <c r="G429" i="3"/>
  <c r="G433" i="3"/>
  <c r="G434" i="3"/>
  <c r="G435" i="3"/>
  <c r="G448" i="3"/>
  <c r="G449" i="3"/>
  <c r="G450" i="3"/>
  <c r="G451" i="3"/>
  <c r="G452" i="3"/>
  <c r="G453" i="3"/>
  <c r="G454" i="3"/>
  <c r="G476" i="3"/>
  <c r="G479" i="3"/>
  <c r="G480" i="3"/>
  <c r="G481" i="3"/>
  <c r="G482" i="3"/>
  <c r="G496" i="3"/>
  <c r="G500" i="3"/>
  <c r="G516" i="3"/>
  <c r="G501" i="3"/>
  <c r="G503" i="3"/>
  <c r="G506" i="3"/>
  <c r="C10" i="3"/>
  <c r="C11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61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9" i="3"/>
  <c r="C410" i="3"/>
  <c r="C412" i="3"/>
  <c r="C413" i="3"/>
  <c r="C414" i="3"/>
  <c r="C415" i="3"/>
  <c r="C416" i="3"/>
  <c r="C417" i="3"/>
  <c r="C418" i="3"/>
  <c r="C419" i="3"/>
  <c r="C420" i="3"/>
  <c r="C411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60" i="3"/>
  <c r="C461" i="3"/>
  <c r="C462" i="3"/>
  <c r="C467" i="3"/>
  <c r="C468" i="3"/>
  <c r="C469" i="3"/>
  <c r="C470" i="3"/>
  <c r="C471" i="3"/>
  <c r="C472" i="3"/>
  <c r="C473" i="3"/>
  <c r="C474" i="3"/>
  <c r="C475" i="3"/>
  <c r="C476" i="3"/>
  <c r="C479" i="3"/>
  <c r="C480" i="3"/>
  <c r="C481" i="3"/>
  <c r="C485" i="3"/>
  <c r="C482" i="3"/>
  <c r="C483" i="3"/>
  <c r="C484" i="3"/>
  <c r="C486" i="3"/>
  <c r="C487" i="3"/>
  <c r="C488" i="3"/>
  <c r="C489" i="3"/>
  <c r="C629" i="3"/>
  <c r="C490" i="3"/>
  <c r="C491" i="3"/>
  <c r="C493" i="3"/>
  <c r="C494" i="3"/>
  <c r="C496" i="3"/>
  <c r="C520" i="3"/>
  <c r="C498" i="3"/>
  <c r="C499" i="3"/>
  <c r="C500" i="3"/>
  <c r="C516" i="3"/>
  <c r="C501" i="3"/>
  <c r="C503" i="3"/>
  <c r="C506" i="3"/>
  <c r="C507" i="3"/>
  <c r="C510" i="3"/>
  <c r="C511" i="3"/>
  <c r="C517" i="3"/>
  <c r="I10" i="14" l="1"/>
  <c r="Y63" i="15"/>
  <c r="Z81" i="15"/>
  <c r="V81" i="15"/>
  <c r="R81" i="15"/>
  <c r="AB63" i="15"/>
  <c r="W63" i="15"/>
  <c r="S63" i="15"/>
  <c r="S81" i="15"/>
  <c r="AC63" i="15"/>
  <c r="AC81" i="15"/>
  <c r="Y81" i="15"/>
  <c r="U81" i="15"/>
  <c r="AA63" i="15"/>
  <c r="V63" i="15"/>
  <c r="R63" i="15"/>
  <c r="AA81" i="15"/>
  <c r="T63" i="15"/>
  <c r="AB81" i="15"/>
  <c r="X81" i="15"/>
  <c r="T81" i="15"/>
  <c r="Z63" i="15"/>
  <c r="U63" i="15"/>
  <c r="W81" i="15"/>
  <c r="Z75" i="15"/>
  <c r="V75" i="15"/>
  <c r="R75" i="15"/>
  <c r="Z57" i="15"/>
  <c r="U57" i="15"/>
  <c r="S75" i="15"/>
  <c r="AC75" i="15"/>
  <c r="Y75" i="15"/>
  <c r="U75" i="15"/>
  <c r="AC57" i="15"/>
  <c r="Y57" i="15"/>
  <c r="T57" i="15"/>
  <c r="AA75" i="15"/>
  <c r="AB75" i="15"/>
  <c r="X75" i="15"/>
  <c r="T75" i="15"/>
  <c r="AB57" i="15"/>
  <c r="W57" i="15"/>
  <c r="S57" i="15"/>
  <c r="W75" i="15"/>
  <c r="AA57" i="15"/>
  <c r="V57" i="15"/>
  <c r="R57" i="15"/>
  <c r="Z79" i="15"/>
  <c r="V79" i="15"/>
  <c r="R79" i="15"/>
  <c r="Z61" i="15"/>
  <c r="U61" i="15"/>
  <c r="AC79" i="15"/>
  <c r="Y79" i="15"/>
  <c r="U79" i="15"/>
  <c r="AC61" i="15"/>
  <c r="Y61" i="15"/>
  <c r="T61" i="15"/>
  <c r="AB79" i="15"/>
  <c r="X79" i="15"/>
  <c r="T79" i="15"/>
  <c r="AB61" i="15"/>
  <c r="W61" i="15"/>
  <c r="S61" i="15"/>
  <c r="AA79" i="15"/>
  <c r="W79" i="15"/>
  <c r="S79" i="15"/>
  <c r="R61" i="15"/>
  <c r="AA61" i="15"/>
  <c r="V61" i="15"/>
  <c r="Z72" i="15"/>
  <c r="V72" i="15"/>
  <c r="R72" i="15"/>
  <c r="AA54" i="15"/>
  <c r="V54" i="15"/>
  <c r="R54" i="15"/>
  <c r="S72" i="15"/>
  <c r="AC72" i="15"/>
  <c r="Y72" i="15"/>
  <c r="U72" i="15"/>
  <c r="Z54" i="15"/>
  <c r="U54" i="15"/>
  <c r="AA72" i="15"/>
  <c r="AB72" i="15"/>
  <c r="X72" i="15"/>
  <c r="T72" i="15"/>
  <c r="AC54" i="15"/>
  <c r="Y54" i="15"/>
  <c r="T54" i="15"/>
  <c r="W72" i="15"/>
  <c r="AB54" i="15"/>
  <c r="W54" i="15"/>
  <c r="S54" i="15"/>
  <c r="Z77" i="15"/>
  <c r="V77" i="15"/>
  <c r="R77" i="15"/>
  <c r="AB59" i="15"/>
  <c r="W59" i="15"/>
  <c r="S59" i="15"/>
  <c r="S77" i="15"/>
  <c r="AC77" i="15"/>
  <c r="Y77" i="15"/>
  <c r="U77" i="15"/>
  <c r="AA59" i="15"/>
  <c r="V59" i="15"/>
  <c r="R59" i="15"/>
  <c r="W77" i="15"/>
  <c r="AB77" i="15"/>
  <c r="X77" i="15"/>
  <c r="T77" i="15"/>
  <c r="Z59" i="15"/>
  <c r="U59" i="15"/>
  <c r="AA77" i="15"/>
  <c r="Y59" i="15"/>
  <c r="T59" i="15"/>
  <c r="AC59" i="15"/>
  <c r="Z74" i="15"/>
  <c r="V74" i="15"/>
  <c r="R74" i="15"/>
  <c r="AC56" i="15"/>
  <c r="Y56" i="15"/>
  <c r="T56" i="15"/>
  <c r="S74" i="15"/>
  <c r="AC74" i="15"/>
  <c r="Y74" i="15"/>
  <c r="U74" i="15"/>
  <c r="AB56" i="15"/>
  <c r="W56" i="15"/>
  <c r="S56" i="15"/>
  <c r="AA74" i="15"/>
  <c r="AB74" i="15"/>
  <c r="X74" i="15"/>
  <c r="T74" i="15"/>
  <c r="AA56" i="15"/>
  <c r="V56" i="15"/>
  <c r="R56" i="15"/>
  <c r="W74" i="15"/>
  <c r="Z56" i="15"/>
  <c r="U56" i="15"/>
  <c r="Z71" i="15"/>
  <c r="V71" i="15"/>
  <c r="R71" i="15"/>
  <c r="Z53" i="15"/>
  <c r="V53" i="15"/>
  <c r="R53" i="15"/>
  <c r="S71" i="15"/>
  <c r="AC71" i="15"/>
  <c r="Y71" i="15"/>
  <c r="U71" i="15"/>
  <c r="AC53" i="15"/>
  <c r="Y53" i="15"/>
  <c r="U53" i="15"/>
  <c r="W71" i="15"/>
  <c r="AB71" i="15"/>
  <c r="X71" i="15"/>
  <c r="T71" i="15"/>
  <c r="AB53" i="15"/>
  <c r="X53" i="15"/>
  <c r="T53" i="15"/>
  <c r="AA71" i="15"/>
  <c r="AA53" i="15"/>
  <c r="W53" i="15"/>
  <c r="S53" i="15"/>
  <c r="Z80" i="15"/>
  <c r="V80" i="15"/>
  <c r="R80" i="15"/>
  <c r="AA62" i="15"/>
  <c r="V62" i="15"/>
  <c r="R62" i="15"/>
  <c r="W62" i="15"/>
  <c r="AC80" i="15"/>
  <c r="Y80" i="15"/>
  <c r="U80" i="15"/>
  <c r="Z62" i="15"/>
  <c r="U62" i="15"/>
  <c r="AA80" i="15"/>
  <c r="S80" i="15"/>
  <c r="AB80" i="15"/>
  <c r="X80" i="15"/>
  <c r="T80" i="15"/>
  <c r="AC62" i="15"/>
  <c r="Y62" i="15"/>
  <c r="T62" i="15"/>
  <c r="W80" i="15"/>
  <c r="AB62" i="15"/>
  <c r="S62" i="15"/>
  <c r="Z78" i="15"/>
  <c r="V78" i="15"/>
  <c r="R78" i="15"/>
  <c r="AC60" i="15"/>
  <c r="Y60" i="15"/>
  <c r="T60" i="15"/>
  <c r="S78" i="15"/>
  <c r="AC78" i="15"/>
  <c r="Y78" i="15"/>
  <c r="U78" i="15"/>
  <c r="AB60" i="15"/>
  <c r="W60" i="15"/>
  <c r="S60" i="15"/>
  <c r="W78" i="15"/>
  <c r="AB78" i="15"/>
  <c r="X78" i="15"/>
  <c r="T78" i="15"/>
  <c r="AA60" i="15"/>
  <c r="V60" i="15"/>
  <c r="R60" i="15"/>
  <c r="AA78" i="15"/>
  <c r="Z60" i="15"/>
  <c r="U60" i="15"/>
  <c r="Z73" i="15"/>
  <c r="V73" i="15"/>
  <c r="R73" i="15"/>
  <c r="AB55" i="15"/>
  <c r="W55" i="15"/>
  <c r="S55" i="15"/>
  <c r="S73" i="15"/>
  <c r="AC73" i="15"/>
  <c r="Y73" i="15"/>
  <c r="U73" i="15"/>
  <c r="AA55" i="15"/>
  <c r="V55" i="15"/>
  <c r="R55" i="15"/>
  <c r="AA73" i="15"/>
  <c r="AB73" i="15"/>
  <c r="X73" i="15"/>
  <c r="T73" i="15"/>
  <c r="Z55" i="15"/>
  <c r="U55" i="15"/>
  <c r="W73" i="15"/>
  <c r="T55" i="15"/>
  <c r="AC55" i="15"/>
  <c r="Y55" i="15"/>
  <c r="Z82" i="15"/>
  <c r="V82" i="15"/>
  <c r="R82" i="15"/>
  <c r="AC64" i="15"/>
  <c r="Y64" i="15"/>
  <c r="T64" i="15"/>
  <c r="S82" i="15"/>
  <c r="AC82" i="15"/>
  <c r="Y82" i="15"/>
  <c r="U82" i="15"/>
  <c r="AB64" i="15"/>
  <c r="W64" i="15"/>
  <c r="S64" i="15"/>
  <c r="AA82" i="15"/>
  <c r="Z64" i="15"/>
  <c r="AB82" i="15"/>
  <c r="X82" i="15"/>
  <c r="T82" i="15"/>
  <c r="AA64" i="15"/>
  <c r="V64" i="15"/>
  <c r="R64" i="15"/>
  <c r="W82" i="15"/>
  <c r="U64" i="15"/>
  <c r="Z76" i="15"/>
  <c r="V76" i="15"/>
  <c r="R76" i="15"/>
  <c r="AA58" i="15"/>
  <c r="V58" i="15"/>
  <c r="R58" i="15"/>
  <c r="S76" i="15"/>
  <c r="AC76" i="15"/>
  <c r="Y76" i="15"/>
  <c r="U76" i="15"/>
  <c r="Z58" i="15"/>
  <c r="U58" i="15"/>
  <c r="AA76" i="15"/>
  <c r="AB76" i="15"/>
  <c r="X76" i="15"/>
  <c r="T76" i="15"/>
  <c r="AC58" i="15"/>
  <c r="Y58" i="15"/>
  <c r="T58" i="15"/>
  <c r="W76" i="15"/>
  <c r="S58" i="15"/>
  <c r="AB58" i="15"/>
  <c r="W58" i="15"/>
  <c r="E104" i="15"/>
  <c r="I104" i="15"/>
  <c r="M104" i="15"/>
  <c r="K104" i="15"/>
  <c r="F104" i="15"/>
  <c r="J104" i="15"/>
  <c r="N104" i="15"/>
  <c r="G104" i="15"/>
  <c r="D104" i="15"/>
  <c r="L104" i="15"/>
  <c r="H104" i="15"/>
  <c r="AA39" i="15"/>
  <c r="W39" i="15"/>
  <c r="S39" i="15"/>
  <c r="L39" i="15"/>
  <c r="U39" i="15"/>
  <c r="N39" i="15"/>
  <c r="J39" i="15"/>
  <c r="X39" i="15"/>
  <c r="M39" i="15"/>
  <c r="Z39" i="15"/>
  <c r="V39" i="15"/>
  <c r="R39" i="15"/>
  <c r="K39" i="15"/>
  <c r="AC39" i="15"/>
  <c r="Y39" i="15"/>
  <c r="AB39" i="15"/>
  <c r="T39" i="15"/>
  <c r="AC33" i="15"/>
  <c r="Y33" i="15"/>
  <c r="U33" i="15"/>
  <c r="N33" i="15"/>
  <c r="J33" i="15"/>
  <c r="Z33" i="15"/>
  <c r="AB33" i="15"/>
  <c r="X33" i="15"/>
  <c r="T33" i="15"/>
  <c r="M33" i="15"/>
  <c r="W33" i="15"/>
  <c r="S33" i="15"/>
  <c r="R33" i="15"/>
  <c r="AA33" i="15"/>
  <c r="L33" i="15"/>
  <c r="V33" i="15"/>
  <c r="K33" i="15"/>
  <c r="AC37" i="15"/>
  <c r="Y37" i="15"/>
  <c r="U37" i="15"/>
  <c r="N37" i="15"/>
  <c r="J37" i="15"/>
  <c r="Z37" i="15"/>
  <c r="R37" i="15"/>
  <c r="K37" i="15"/>
  <c r="AB37" i="15"/>
  <c r="X37" i="15"/>
  <c r="T37" i="15"/>
  <c r="M37" i="15"/>
  <c r="W37" i="15"/>
  <c r="AA37" i="15"/>
  <c r="S37" i="15"/>
  <c r="L37" i="15"/>
  <c r="V37" i="15"/>
  <c r="Z30" i="15"/>
  <c r="V30" i="15"/>
  <c r="R30" i="15"/>
  <c r="K30" i="15"/>
  <c r="S30" i="15"/>
  <c r="AC30" i="15"/>
  <c r="Y30" i="15"/>
  <c r="U30" i="15"/>
  <c r="N30" i="15"/>
  <c r="J30" i="15"/>
  <c r="AA30" i="15"/>
  <c r="L30" i="15"/>
  <c r="AB30" i="15"/>
  <c r="X30" i="15"/>
  <c r="T30" i="15"/>
  <c r="M30" i="15"/>
  <c r="W30" i="15"/>
  <c r="AB40" i="15"/>
  <c r="X40" i="15"/>
  <c r="T40" i="15"/>
  <c r="M40" i="15"/>
  <c r="AC40" i="15"/>
  <c r="J40" i="15"/>
  <c r="AA40" i="15"/>
  <c r="W40" i="15"/>
  <c r="S40" i="15"/>
  <c r="L40" i="15"/>
  <c r="V40" i="15"/>
  <c r="U40" i="15"/>
  <c r="Z40" i="15"/>
  <c r="R40" i="15"/>
  <c r="K40" i="15"/>
  <c r="Y40" i="15"/>
  <c r="N40" i="15"/>
  <c r="AA35" i="15"/>
  <c r="W35" i="15"/>
  <c r="S35" i="15"/>
  <c r="L35" i="15"/>
  <c r="U35" i="15"/>
  <c r="N35" i="15"/>
  <c r="J35" i="15"/>
  <c r="X35" i="15"/>
  <c r="M35" i="15"/>
  <c r="Z35" i="15"/>
  <c r="V35" i="15"/>
  <c r="R35" i="15"/>
  <c r="K35" i="15"/>
  <c r="AB35" i="15"/>
  <c r="T35" i="15"/>
  <c r="AC35" i="15"/>
  <c r="Y35" i="15"/>
  <c r="AB32" i="15"/>
  <c r="X32" i="15"/>
  <c r="T32" i="15"/>
  <c r="M32" i="15"/>
  <c r="K32" i="15"/>
  <c r="N32" i="15"/>
  <c r="AA32" i="15"/>
  <c r="W32" i="15"/>
  <c r="S32" i="15"/>
  <c r="L32" i="15"/>
  <c r="V32" i="15"/>
  <c r="AC32" i="15"/>
  <c r="U32" i="15"/>
  <c r="Z32" i="15"/>
  <c r="R32" i="15"/>
  <c r="Y32" i="15"/>
  <c r="J32" i="15"/>
  <c r="Z29" i="15"/>
  <c r="V29" i="15"/>
  <c r="R29" i="15"/>
  <c r="K29" i="15"/>
  <c r="AA29" i="15"/>
  <c r="AC29" i="15"/>
  <c r="Y29" i="15"/>
  <c r="U29" i="15"/>
  <c r="N29" i="15"/>
  <c r="J29" i="15"/>
  <c r="X29" i="15"/>
  <c r="T29" i="15"/>
  <c r="S29" i="15"/>
  <c r="AB29" i="15"/>
  <c r="M29" i="15"/>
  <c r="I29" i="15"/>
  <c r="W29" i="15"/>
  <c r="L29" i="15"/>
  <c r="Z38" i="15"/>
  <c r="V38" i="15"/>
  <c r="R38" i="15"/>
  <c r="K38" i="15"/>
  <c r="S38" i="15"/>
  <c r="AC38" i="15"/>
  <c r="Y38" i="15"/>
  <c r="U38" i="15"/>
  <c r="N38" i="15"/>
  <c r="J38" i="15"/>
  <c r="M38" i="15"/>
  <c r="AA38" i="15"/>
  <c r="W38" i="15"/>
  <c r="L38" i="15"/>
  <c r="AB38" i="15"/>
  <c r="X38" i="15"/>
  <c r="T38" i="15"/>
  <c r="AB36" i="15"/>
  <c r="X36" i="15"/>
  <c r="T36" i="15"/>
  <c r="M36" i="15"/>
  <c r="R36" i="15"/>
  <c r="K36" i="15"/>
  <c r="Y36" i="15"/>
  <c r="N36" i="15"/>
  <c r="AA36" i="15"/>
  <c r="W36" i="15"/>
  <c r="S36" i="15"/>
  <c r="L36" i="15"/>
  <c r="V36" i="15"/>
  <c r="Z36" i="15"/>
  <c r="AC36" i="15"/>
  <c r="U36" i="15"/>
  <c r="J36" i="15"/>
  <c r="AA31" i="15"/>
  <c r="W31" i="15"/>
  <c r="S31" i="15"/>
  <c r="L31" i="15"/>
  <c r="U31" i="15"/>
  <c r="N31" i="15"/>
  <c r="J31" i="15"/>
  <c r="X31" i="15"/>
  <c r="M31" i="15"/>
  <c r="Z31" i="15"/>
  <c r="V31" i="15"/>
  <c r="R31" i="15"/>
  <c r="K31" i="15"/>
  <c r="AB31" i="15"/>
  <c r="AC31" i="15"/>
  <c r="Y31" i="15"/>
  <c r="T31" i="15"/>
  <c r="Z34" i="15"/>
  <c r="V34" i="15"/>
  <c r="R34" i="15"/>
  <c r="K34" i="15"/>
  <c r="AC34" i="15"/>
  <c r="Y34" i="15"/>
  <c r="U34" i="15"/>
  <c r="N34" i="15"/>
  <c r="J34" i="15"/>
  <c r="T34" i="15"/>
  <c r="AA34" i="15"/>
  <c r="S34" i="15"/>
  <c r="AB34" i="15"/>
  <c r="X34" i="15"/>
  <c r="M34" i="15"/>
  <c r="W34" i="15"/>
  <c r="L34" i="15"/>
  <c r="N139" i="15"/>
  <c r="L139" i="15"/>
  <c r="I139" i="15"/>
  <c r="J139" i="15"/>
  <c r="M139" i="15"/>
  <c r="G139" i="15"/>
  <c r="K139" i="15"/>
  <c r="F139" i="15"/>
  <c r="H139" i="15"/>
  <c r="D139" i="15"/>
  <c r="E139" i="15"/>
  <c r="C139" i="15"/>
  <c r="L111" i="15"/>
  <c r="M111" i="15"/>
  <c r="J111" i="15"/>
  <c r="K111" i="15"/>
  <c r="N111" i="15"/>
  <c r="G111" i="15"/>
  <c r="H111" i="15"/>
  <c r="C111" i="15"/>
  <c r="I111" i="15"/>
  <c r="F111" i="15"/>
  <c r="E111" i="15"/>
  <c r="D111" i="15"/>
  <c r="N112" i="15"/>
  <c r="L112" i="15"/>
  <c r="M112" i="15"/>
  <c r="I112" i="15"/>
  <c r="J112" i="15"/>
  <c r="F112" i="15"/>
  <c r="G112" i="15"/>
  <c r="K112" i="15"/>
  <c r="H112" i="15"/>
  <c r="D112" i="15"/>
  <c r="E112" i="15"/>
  <c r="C112" i="15"/>
  <c r="M117" i="15"/>
  <c r="N117" i="15"/>
  <c r="K117" i="15"/>
  <c r="L117" i="15"/>
  <c r="I117" i="15"/>
  <c r="J117" i="15"/>
  <c r="H117" i="15"/>
  <c r="E117" i="15"/>
  <c r="G117" i="15"/>
  <c r="F117" i="15"/>
  <c r="D117" i="15"/>
  <c r="C117" i="15"/>
  <c r="C104" i="15"/>
  <c r="L110" i="15"/>
  <c r="M110" i="15"/>
  <c r="N110" i="15"/>
  <c r="K110" i="15"/>
  <c r="H110" i="15"/>
  <c r="I110" i="15"/>
  <c r="D110" i="15"/>
  <c r="F110" i="15"/>
  <c r="E110" i="15"/>
  <c r="J110" i="15"/>
  <c r="G110" i="15"/>
  <c r="C110" i="15"/>
  <c r="L57" i="15"/>
  <c r="M57" i="15"/>
  <c r="N57" i="15"/>
  <c r="K57" i="15"/>
  <c r="I57" i="15"/>
  <c r="J57" i="15"/>
  <c r="H57" i="15"/>
  <c r="F57" i="15"/>
  <c r="D57" i="15"/>
  <c r="G57" i="15"/>
  <c r="E57" i="15"/>
  <c r="C57" i="15"/>
  <c r="L85" i="15"/>
  <c r="M85" i="15"/>
  <c r="N85" i="15"/>
  <c r="K85" i="15"/>
  <c r="H85" i="15"/>
  <c r="I85" i="15"/>
  <c r="J85" i="15"/>
  <c r="D85" i="15"/>
  <c r="E85" i="15"/>
  <c r="F85" i="15"/>
  <c r="G85" i="15"/>
  <c r="C85" i="15"/>
  <c r="M129" i="15"/>
  <c r="N129" i="15"/>
  <c r="I129" i="15"/>
  <c r="L129" i="15"/>
  <c r="J129" i="15"/>
  <c r="K129" i="15"/>
  <c r="G129" i="15"/>
  <c r="E129" i="15"/>
  <c r="H129" i="15"/>
  <c r="F129" i="15"/>
  <c r="C129" i="15"/>
  <c r="D129" i="15"/>
  <c r="L69" i="15"/>
  <c r="M69" i="15"/>
  <c r="N69" i="15"/>
  <c r="K69" i="15"/>
  <c r="I69" i="15"/>
  <c r="D69" i="15"/>
  <c r="H69" i="15"/>
  <c r="E69" i="15"/>
  <c r="J69" i="15"/>
  <c r="F69" i="15"/>
  <c r="G69" i="15"/>
  <c r="C69" i="15"/>
  <c r="N71" i="15"/>
  <c r="K71" i="15"/>
  <c r="L71" i="15"/>
  <c r="I71" i="15"/>
  <c r="J71" i="15"/>
  <c r="M71" i="15"/>
  <c r="F71" i="15"/>
  <c r="H71" i="15"/>
  <c r="G71" i="15"/>
  <c r="D71" i="15"/>
  <c r="E71" i="15"/>
  <c r="C71" i="15"/>
  <c r="M137" i="15"/>
  <c r="N137" i="15"/>
  <c r="K137" i="15"/>
  <c r="H137" i="15"/>
  <c r="J137" i="15"/>
  <c r="I137" i="15"/>
  <c r="D137" i="15"/>
  <c r="G137" i="15"/>
  <c r="L137" i="15"/>
  <c r="F137" i="15"/>
  <c r="C137" i="15"/>
  <c r="E137" i="15"/>
  <c r="N116" i="15"/>
  <c r="L116" i="15"/>
  <c r="I116" i="15"/>
  <c r="M116" i="15"/>
  <c r="K116" i="15"/>
  <c r="J116" i="15"/>
  <c r="F116" i="15"/>
  <c r="G116" i="15"/>
  <c r="H116" i="15"/>
  <c r="D116" i="15"/>
  <c r="E116" i="15"/>
  <c r="C116" i="15"/>
  <c r="L98" i="15"/>
  <c r="M98" i="15"/>
  <c r="K98" i="15"/>
  <c r="J98" i="15"/>
  <c r="N98" i="15"/>
  <c r="G98" i="15"/>
  <c r="I98" i="15"/>
  <c r="H98" i="15"/>
  <c r="C98" i="15"/>
  <c r="F98" i="15"/>
  <c r="E98" i="15"/>
  <c r="D98" i="15"/>
  <c r="N99" i="15"/>
  <c r="L99" i="15"/>
  <c r="I99" i="15"/>
  <c r="M99" i="15"/>
  <c r="K99" i="15"/>
  <c r="J99" i="15"/>
  <c r="F99" i="15"/>
  <c r="G99" i="15"/>
  <c r="H99" i="15"/>
  <c r="D99" i="15"/>
  <c r="E99" i="15"/>
  <c r="C99" i="15"/>
  <c r="N79" i="15"/>
  <c r="K79" i="15"/>
  <c r="L79" i="15"/>
  <c r="M79" i="15"/>
  <c r="I79" i="15"/>
  <c r="J79" i="15"/>
  <c r="F79" i="15"/>
  <c r="G79" i="15"/>
  <c r="D79" i="15"/>
  <c r="H79" i="15"/>
  <c r="E79" i="15"/>
  <c r="C79" i="15"/>
  <c r="N59" i="15"/>
  <c r="K59" i="15"/>
  <c r="L59" i="15"/>
  <c r="I59" i="15"/>
  <c r="J59" i="15"/>
  <c r="H59" i="15"/>
  <c r="F59" i="15"/>
  <c r="G59" i="15"/>
  <c r="D59" i="15"/>
  <c r="M59" i="15"/>
  <c r="E59" i="15"/>
  <c r="C59" i="15"/>
  <c r="L81" i="15"/>
  <c r="M81" i="15"/>
  <c r="N81" i="15"/>
  <c r="K81" i="15"/>
  <c r="I81" i="15"/>
  <c r="H81" i="15"/>
  <c r="J81" i="15"/>
  <c r="F81" i="15"/>
  <c r="D81" i="15"/>
  <c r="G81" i="15"/>
  <c r="E81" i="15"/>
  <c r="C81" i="15"/>
  <c r="L70" i="15"/>
  <c r="M70" i="15"/>
  <c r="N70" i="15"/>
  <c r="J70" i="15"/>
  <c r="K70" i="15"/>
  <c r="H70" i="15"/>
  <c r="G70" i="15"/>
  <c r="C70" i="15"/>
  <c r="I70" i="15"/>
  <c r="E70" i="15"/>
  <c r="F70" i="15"/>
  <c r="D70" i="15"/>
  <c r="M136" i="15"/>
  <c r="N136" i="15"/>
  <c r="L136" i="15"/>
  <c r="J136" i="15"/>
  <c r="I136" i="15"/>
  <c r="K136" i="15"/>
  <c r="G136" i="15"/>
  <c r="E136" i="15"/>
  <c r="H136" i="15"/>
  <c r="F136" i="15"/>
  <c r="C136" i="15"/>
  <c r="D136" i="15"/>
  <c r="M92" i="15"/>
  <c r="N92" i="15"/>
  <c r="K92" i="15"/>
  <c r="L92" i="15"/>
  <c r="I92" i="15"/>
  <c r="F92" i="15"/>
  <c r="J92" i="15"/>
  <c r="E92" i="15"/>
  <c r="H92" i="15"/>
  <c r="G92" i="15"/>
  <c r="D92" i="15"/>
  <c r="C92" i="15"/>
  <c r="M109" i="15"/>
  <c r="N109" i="15"/>
  <c r="K109" i="15"/>
  <c r="L109" i="15"/>
  <c r="I109" i="15"/>
  <c r="J109" i="15"/>
  <c r="F109" i="15"/>
  <c r="E109" i="15"/>
  <c r="H109" i="15"/>
  <c r="G109" i="15"/>
  <c r="C109" i="15"/>
  <c r="D109" i="15"/>
  <c r="L119" i="15"/>
  <c r="M119" i="15"/>
  <c r="N119" i="15"/>
  <c r="J119" i="15"/>
  <c r="G119" i="15"/>
  <c r="K119" i="15"/>
  <c r="H119" i="15"/>
  <c r="F119" i="15"/>
  <c r="C119" i="15"/>
  <c r="E119" i="15"/>
  <c r="I119" i="15"/>
  <c r="D119" i="15"/>
  <c r="L73" i="15"/>
  <c r="M73" i="15"/>
  <c r="N73" i="15"/>
  <c r="K73" i="15"/>
  <c r="I73" i="15"/>
  <c r="J73" i="15"/>
  <c r="H73" i="15"/>
  <c r="F73" i="15"/>
  <c r="D73" i="15"/>
  <c r="G73" i="15"/>
  <c r="E73" i="15"/>
  <c r="C73" i="15"/>
  <c r="L65" i="15"/>
  <c r="M65" i="15"/>
  <c r="N65" i="15"/>
  <c r="K65" i="15"/>
  <c r="I65" i="15"/>
  <c r="H65" i="15"/>
  <c r="J65" i="15"/>
  <c r="F65" i="15"/>
  <c r="D65" i="15"/>
  <c r="G65" i="15"/>
  <c r="E65" i="15"/>
  <c r="C65" i="15"/>
  <c r="L124" i="15"/>
  <c r="M124" i="15"/>
  <c r="J124" i="15"/>
  <c r="N124" i="15"/>
  <c r="G124" i="15"/>
  <c r="I124" i="15"/>
  <c r="H124" i="15"/>
  <c r="K124" i="15"/>
  <c r="C124" i="15"/>
  <c r="E124" i="15"/>
  <c r="F124" i="15"/>
  <c r="D124" i="15"/>
  <c r="M127" i="15"/>
  <c r="N127" i="15"/>
  <c r="K127" i="15"/>
  <c r="L127" i="15"/>
  <c r="H127" i="15"/>
  <c r="I127" i="15"/>
  <c r="D127" i="15"/>
  <c r="J127" i="15"/>
  <c r="F127" i="15"/>
  <c r="E127" i="15"/>
  <c r="G127" i="15"/>
  <c r="C127" i="15"/>
  <c r="N131" i="15"/>
  <c r="L131" i="15"/>
  <c r="I131" i="15"/>
  <c r="M131" i="15"/>
  <c r="J131" i="15"/>
  <c r="F131" i="15"/>
  <c r="G131" i="15"/>
  <c r="K131" i="15"/>
  <c r="H131" i="15"/>
  <c r="D131" i="15"/>
  <c r="E131" i="15"/>
  <c r="C131" i="15"/>
  <c r="L107" i="15"/>
  <c r="M107" i="15"/>
  <c r="J107" i="15"/>
  <c r="N107" i="15"/>
  <c r="K107" i="15"/>
  <c r="G107" i="15"/>
  <c r="I107" i="15"/>
  <c r="H107" i="15"/>
  <c r="C107" i="15"/>
  <c r="E107" i="15"/>
  <c r="F107" i="15"/>
  <c r="D107" i="15"/>
  <c r="N55" i="15"/>
  <c r="K55" i="15"/>
  <c r="L55" i="15"/>
  <c r="I55" i="15"/>
  <c r="J55" i="15"/>
  <c r="M55" i="15"/>
  <c r="F55" i="15"/>
  <c r="H55" i="15"/>
  <c r="G55" i="15"/>
  <c r="D55" i="15"/>
  <c r="E55" i="15"/>
  <c r="C55" i="15"/>
  <c r="L97" i="15"/>
  <c r="M97" i="15"/>
  <c r="N97" i="15"/>
  <c r="I97" i="15"/>
  <c r="H97" i="15"/>
  <c r="K97" i="15"/>
  <c r="J97" i="15"/>
  <c r="F97" i="15"/>
  <c r="D97" i="15"/>
  <c r="G97" i="15"/>
  <c r="E97" i="15"/>
  <c r="C97" i="15"/>
  <c r="N125" i="15"/>
  <c r="L125" i="15"/>
  <c r="I125" i="15"/>
  <c r="J125" i="15"/>
  <c r="F125" i="15"/>
  <c r="G125" i="15"/>
  <c r="H125" i="15"/>
  <c r="M125" i="15"/>
  <c r="K125" i="15"/>
  <c r="D125" i="15"/>
  <c r="E125" i="15"/>
  <c r="C125" i="15"/>
  <c r="L78" i="15"/>
  <c r="M78" i="15"/>
  <c r="J78" i="15"/>
  <c r="K78" i="15"/>
  <c r="N78" i="15"/>
  <c r="G78" i="15"/>
  <c r="H78" i="15"/>
  <c r="C78" i="15"/>
  <c r="I78" i="15"/>
  <c r="E78" i="15"/>
  <c r="F78" i="15"/>
  <c r="D78" i="15"/>
  <c r="L94" i="15"/>
  <c r="M94" i="15"/>
  <c r="J94" i="15"/>
  <c r="K94" i="15"/>
  <c r="N94" i="15"/>
  <c r="G94" i="15"/>
  <c r="H94" i="15"/>
  <c r="I94" i="15"/>
  <c r="C94" i="15"/>
  <c r="E94" i="15"/>
  <c r="F94" i="15"/>
  <c r="D94" i="15"/>
  <c r="N83" i="15"/>
  <c r="K83" i="15"/>
  <c r="L83" i="15"/>
  <c r="I83" i="15"/>
  <c r="M83" i="15"/>
  <c r="J83" i="15"/>
  <c r="F83" i="15"/>
  <c r="G83" i="15"/>
  <c r="H83" i="15"/>
  <c r="D83" i="15"/>
  <c r="E83" i="15"/>
  <c r="C83" i="15"/>
  <c r="N135" i="15"/>
  <c r="L135" i="15"/>
  <c r="I135" i="15"/>
  <c r="J135" i="15"/>
  <c r="M135" i="15"/>
  <c r="K135" i="15"/>
  <c r="F135" i="15"/>
  <c r="G135" i="15"/>
  <c r="H135" i="15"/>
  <c r="D135" i="15"/>
  <c r="E135" i="15"/>
  <c r="C135" i="15"/>
  <c r="M80" i="15"/>
  <c r="N80" i="15"/>
  <c r="K80" i="15"/>
  <c r="H80" i="15"/>
  <c r="I80" i="15"/>
  <c r="L80" i="15"/>
  <c r="J80" i="15"/>
  <c r="F80" i="15"/>
  <c r="G80" i="15"/>
  <c r="E80" i="15"/>
  <c r="D80" i="15"/>
  <c r="C80" i="15"/>
  <c r="N121" i="15"/>
  <c r="L121" i="15"/>
  <c r="K121" i="15"/>
  <c r="I121" i="15"/>
  <c r="J121" i="15"/>
  <c r="M121" i="15"/>
  <c r="F121" i="15"/>
  <c r="G121" i="15"/>
  <c r="H121" i="15"/>
  <c r="D121" i="15"/>
  <c r="E121" i="15"/>
  <c r="C121" i="15"/>
  <c r="L82" i="15"/>
  <c r="M82" i="15"/>
  <c r="J82" i="15"/>
  <c r="G82" i="15"/>
  <c r="I82" i="15"/>
  <c r="H82" i="15"/>
  <c r="C82" i="15"/>
  <c r="F82" i="15"/>
  <c r="N82" i="15"/>
  <c r="E82" i="15"/>
  <c r="K82" i="15"/>
  <c r="D82" i="15"/>
  <c r="M130" i="15"/>
  <c r="N130" i="15"/>
  <c r="K130" i="15"/>
  <c r="I130" i="15"/>
  <c r="H130" i="15"/>
  <c r="J130" i="15"/>
  <c r="L130" i="15"/>
  <c r="F130" i="15"/>
  <c r="D130" i="15"/>
  <c r="G130" i="15"/>
  <c r="E130" i="15"/>
  <c r="C130" i="15"/>
  <c r="N103" i="15"/>
  <c r="L103" i="15"/>
  <c r="K103" i="15"/>
  <c r="I103" i="15"/>
  <c r="J103" i="15"/>
  <c r="M103" i="15"/>
  <c r="F103" i="15"/>
  <c r="G103" i="15"/>
  <c r="H103" i="15"/>
  <c r="D103" i="15"/>
  <c r="E103" i="15"/>
  <c r="C103" i="15"/>
  <c r="L90" i="15"/>
  <c r="M90" i="15"/>
  <c r="J90" i="15"/>
  <c r="N90" i="15"/>
  <c r="K90" i="15"/>
  <c r="G90" i="15"/>
  <c r="I90" i="15"/>
  <c r="H90" i="15"/>
  <c r="C90" i="15"/>
  <c r="F90" i="15"/>
  <c r="E90" i="15"/>
  <c r="D90" i="15"/>
  <c r="N95" i="15"/>
  <c r="L95" i="15"/>
  <c r="M95" i="15"/>
  <c r="I95" i="15"/>
  <c r="J95" i="15"/>
  <c r="K95" i="15"/>
  <c r="F95" i="15"/>
  <c r="G95" i="15"/>
  <c r="H95" i="15"/>
  <c r="D95" i="15"/>
  <c r="E95" i="15"/>
  <c r="C95" i="15"/>
  <c r="M64" i="15"/>
  <c r="N64" i="15"/>
  <c r="K64" i="15"/>
  <c r="H64" i="15"/>
  <c r="I64" i="15"/>
  <c r="L64" i="15"/>
  <c r="J64" i="15"/>
  <c r="F64" i="15"/>
  <c r="G64" i="15"/>
  <c r="E64" i="15"/>
  <c r="C64" i="15"/>
  <c r="D64" i="15"/>
  <c r="L134" i="15"/>
  <c r="M134" i="15"/>
  <c r="N134" i="15"/>
  <c r="J134" i="15"/>
  <c r="K134" i="15"/>
  <c r="G134" i="15"/>
  <c r="H134" i="15"/>
  <c r="F134" i="15"/>
  <c r="C134" i="15"/>
  <c r="I134" i="15"/>
  <c r="E134" i="15"/>
  <c r="D134" i="15"/>
  <c r="N91" i="15"/>
  <c r="K91" i="15"/>
  <c r="L91" i="15"/>
  <c r="I91" i="15"/>
  <c r="J91" i="15"/>
  <c r="F91" i="15"/>
  <c r="M91" i="15"/>
  <c r="G91" i="15"/>
  <c r="H91" i="15"/>
  <c r="D91" i="15"/>
  <c r="E91" i="15"/>
  <c r="C91" i="15"/>
  <c r="N67" i="15"/>
  <c r="K67" i="15"/>
  <c r="L67" i="15"/>
  <c r="I67" i="15"/>
  <c r="M67" i="15"/>
  <c r="J67" i="15"/>
  <c r="F67" i="15"/>
  <c r="G67" i="15"/>
  <c r="H67" i="15"/>
  <c r="D67" i="15"/>
  <c r="E67" i="15"/>
  <c r="C67" i="15"/>
  <c r="M96" i="15"/>
  <c r="N96" i="15"/>
  <c r="K96" i="15"/>
  <c r="I96" i="15"/>
  <c r="L96" i="15"/>
  <c r="J96" i="15"/>
  <c r="F96" i="15"/>
  <c r="G96" i="15"/>
  <c r="E96" i="15"/>
  <c r="H96" i="15"/>
  <c r="C96" i="15"/>
  <c r="D96" i="15"/>
  <c r="M72" i="15"/>
  <c r="N72" i="15"/>
  <c r="K72" i="15"/>
  <c r="L72" i="15"/>
  <c r="H72" i="15"/>
  <c r="I72" i="15"/>
  <c r="J72" i="15"/>
  <c r="F72" i="15"/>
  <c r="G72" i="15"/>
  <c r="E72" i="15"/>
  <c r="D72" i="15"/>
  <c r="C72" i="15"/>
  <c r="L61" i="15"/>
  <c r="M61" i="15"/>
  <c r="N61" i="15"/>
  <c r="K61" i="15"/>
  <c r="H61" i="15"/>
  <c r="I61" i="15"/>
  <c r="D61" i="15"/>
  <c r="J61" i="15"/>
  <c r="E61" i="15"/>
  <c r="F61" i="15"/>
  <c r="G61" i="15"/>
  <c r="C61" i="15"/>
  <c r="L74" i="15"/>
  <c r="M74" i="15"/>
  <c r="J74" i="15"/>
  <c r="N74" i="15"/>
  <c r="G74" i="15"/>
  <c r="I74" i="15"/>
  <c r="K74" i="15"/>
  <c r="C74" i="15"/>
  <c r="F74" i="15"/>
  <c r="H74" i="15"/>
  <c r="E74" i="15"/>
  <c r="D74" i="15"/>
  <c r="L66" i="15"/>
  <c r="M66" i="15"/>
  <c r="J66" i="15"/>
  <c r="G66" i="15"/>
  <c r="K66" i="15"/>
  <c r="I66" i="15"/>
  <c r="H66" i="15"/>
  <c r="N66" i="15"/>
  <c r="C66" i="15"/>
  <c r="F66" i="15"/>
  <c r="E66" i="15"/>
  <c r="D66" i="15"/>
  <c r="M113" i="15"/>
  <c r="N113" i="15"/>
  <c r="K113" i="15"/>
  <c r="I113" i="15"/>
  <c r="L113" i="15"/>
  <c r="J113" i="15"/>
  <c r="G113" i="15"/>
  <c r="E113" i="15"/>
  <c r="H113" i="15"/>
  <c r="F113" i="15"/>
  <c r="C113" i="15"/>
  <c r="D113" i="15"/>
  <c r="M68" i="15"/>
  <c r="N68" i="15"/>
  <c r="K68" i="15"/>
  <c r="H68" i="15"/>
  <c r="I68" i="15"/>
  <c r="L68" i="15"/>
  <c r="F68" i="15"/>
  <c r="J68" i="15"/>
  <c r="E68" i="15"/>
  <c r="G68" i="15"/>
  <c r="D68" i="15"/>
  <c r="C68" i="15"/>
  <c r="N75" i="15"/>
  <c r="K75" i="15"/>
  <c r="L75" i="15"/>
  <c r="I75" i="15"/>
  <c r="J75" i="15"/>
  <c r="M75" i="15"/>
  <c r="H75" i="15"/>
  <c r="F75" i="15"/>
  <c r="G75" i="15"/>
  <c r="D75" i="15"/>
  <c r="E75" i="15"/>
  <c r="C75" i="15"/>
  <c r="M122" i="15"/>
  <c r="N122" i="15"/>
  <c r="K122" i="15"/>
  <c r="I122" i="15"/>
  <c r="L122" i="15"/>
  <c r="J122" i="15"/>
  <c r="G122" i="15"/>
  <c r="E122" i="15"/>
  <c r="H122" i="15"/>
  <c r="F122" i="15"/>
  <c r="C122" i="15"/>
  <c r="D122" i="15"/>
  <c r="M88" i="15"/>
  <c r="N88" i="15"/>
  <c r="K88" i="15"/>
  <c r="L88" i="15"/>
  <c r="I88" i="15"/>
  <c r="J88" i="15"/>
  <c r="F88" i="15"/>
  <c r="G88" i="15"/>
  <c r="E88" i="15"/>
  <c r="H88" i="15"/>
  <c r="D88" i="15"/>
  <c r="C88" i="15"/>
  <c r="N108" i="15"/>
  <c r="L108" i="15"/>
  <c r="I108" i="15"/>
  <c r="J108" i="15"/>
  <c r="F108" i="15"/>
  <c r="K108" i="15"/>
  <c r="G108" i="15"/>
  <c r="M108" i="15"/>
  <c r="H108" i="15"/>
  <c r="D108" i="15"/>
  <c r="E108" i="15"/>
  <c r="C108" i="15"/>
  <c r="N87" i="15"/>
  <c r="K87" i="15"/>
  <c r="L87" i="15"/>
  <c r="I87" i="15"/>
  <c r="J87" i="15"/>
  <c r="M87" i="15"/>
  <c r="F87" i="15"/>
  <c r="G87" i="15"/>
  <c r="H87" i="15"/>
  <c r="D87" i="15"/>
  <c r="E87" i="15"/>
  <c r="C87" i="15"/>
  <c r="M56" i="15"/>
  <c r="N56" i="15"/>
  <c r="K56" i="15"/>
  <c r="L56" i="15"/>
  <c r="H56" i="15"/>
  <c r="I56" i="15"/>
  <c r="J56" i="15"/>
  <c r="F56" i="15"/>
  <c r="G56" i="15"/>
  <c r="E56" i="15"/>
  <c r="C56" i="15"/>
  <c r="D56" i="15"/>
  <c r="M114" i="15"/>
  <c r="N114" i="15"/>
  <c r="L114" i="15"/>
  <c r="I114" i="15"/>
  <c r="H114" i="15"/>
  <c r="J114" i="15"/>
  <c r="F114" i="15"/>
  <c r="D114" i="15"/>
  <c r="K114" i="15"/>
  <c r="G114" i="15"/>
  <c r="E114" i="15"/>
  <c r="C114" i="15"/>
  <c r="M76" i="15"/>
  <c r="N76" i="15"/>
  <c r="K76" i="15"/>
  <c r="H76" i="15"/>
  <c r="L76" i="15"/>
  <c r="I76" i="15"/>
  <c r="F76" i="15"/>
  <c r="J76" i="15"/>
  <c r="E76" i="15"/>
  <c r="G76" i="15"/>
  <c r="D76" i="15"/>
  <c r="C76" i="15"/>
  <c r="M84" i="15"/>
  <c r="N84" i="15"/>
  <c r="K84" i="15"/>
  <c r="I84" i="15"/>
  <c r="F84" i="15"/>
  <c r="L84" i="15"/>
  <c r="J84" i="15"/>
  <c r="H84" i="15"/>
  <c r="E84" i="15"/>
  <c r="G84" i="15"/>
  <c r="D84" i="15"/>
  <c r="C84" i="15"/>
  <c r="L77" i="15"/>
  <c r="M77" i="15"/>
  <c r="N77" i="15"/>
  <c r="K77" i="15"/>
  <c r="H77" i="15"/>
  <c r="I77" i="15"/>
  <c r="D77" i="15"/>
  <c r="E77" i="15"/>
  <c r="F77" i="15"/>
  <c r="J77" i="15"/>
  <c r="G77" i="15"/>
  <c r="C77" i="15"/>
  <c r="M123" i="15"/>
  <c r="N123" i="15"/>
  <c r="K123" i="15"/>
  <c r="I123" i="15"/>
  <c r="H123" i="15"/>
  <c r="L123" i="15"/>
  <c r="J123" i="15"/>
  <c r="D123" i="15"/>
  <c r="G123" i="15"/>
  <c r="E123" i="15"/>
  <c r="F123" i="15"/>
  <c r="C123" i="15"/>
  <c r="M132" i="15"/>
  <c r="N132" i="15"/>
  <c r="L132" i="15"/>
  <c r="I132" i="15"/>
  <c r="J132" i="15"/>
  <c r="H132" i="15"/>
  <c r="E132" i="15"/>
  <c r="G132" i="15"/>
  <c r="F132" i="15"/>
  <c r="K132" i="15"/>
  <c r="D132" i="15"/>
  <c r="C132" i="15"/>
  <c r="L115" i="15"/>
  <c r="M115" i="15"/>
  <c r="K115" i="15"/>
  <c r="J115" i="15"/>
  <c r="G115" i="15"/>
  <c r="N115" i="15"/>
  <c r="I115" i="15"/>
  <c r="H115" i="15"/>
  <c r="C115" i="15"/>
  <c r="F115" i="15"/>
  <c r="E115" i="15"/>
  <c r="D115" i="15"/>
  <c r="L58" i="15"/>
  <c r="M58" i="15"/>
  <c r="J58" i="15"/>
  <c r="N58" i="15"/>
  <c r="K58" i="15"/>
  <c r="G58" i="15"/>
  <c r="I58" i="15"/>
  <c r="C58" i="15"/>
  <c r="F58" i="15"/>
  <c r="E58" i="15"/>
  <c r="H58" i="15"/>
  <c r="D58" i="15"/>
  <c r="M133" i="15"/>
  <c r="N133" i="15"/>
  <c r="K133" i="15"/>
  <c r="L133" i="15"/>
  <c r="H133" i="15"/>
  <c r="I133" i="15"/>
  <c r="D133" i="15"/>
  <c r="J133" i="15"/>
  <c r="G133" i="15"/>
  <c r="F133" i="15"/>
  <c r="E133" i="15"/>
  <c r="C133" i="15"/>
  <c r="L86" i="15"/>
  <c r="M86" i="15"/>
  <c r="N86" i="15"/>
  <c r="J86" i="15"/>
  <c r="K86" i="15"/>
  <c r="G86" i="15"/>
  <c r="H86" i="15"/>
  <c r="C86" i="15"/>
  <c r="E86" i="15"/>
  <c r="I86" i="15"/>
  <c r="F86" i="15"/>
  <c r="D86" i="15"/>
  <c r="L89" i="15"/>
  <c r="M89" i="15"/>
  <c r="N89" i="15"/>
  <c r="K89" i="15"/>
  <c r="I89" i="15"/>
  <c r="H89" i="15"/>
  <c r="J89" i="15"/>
  <c r="F89" i="15"/>
  <c r="D89" i="15"/>
  <c r="G89" i="15"/>
  <c r="E89" i="15"/>
  <c r="C89" i="15"/>
  <c r="L102" i="15"/>
  <c r="M102" i="15"/>
  <c r="N102" i="15"/>
  <c r="J102" i="15"/>
  <c r="G102" i="15"/>
  <c r="H102" i="15"/>
  <c r="K102" i="15"/>
  <c r="F102" i="15"/>
  <c r="C102" i="15"/>
  <c r="I102" i="15"/>
  <c r="E102" i="15"/>
  <c r="D102" i="15"/>
  <c r="L54" i="15"/>
  <c r="M54" i="15"/>
  <c r="N54" i="15"/>
  <c r="J54" i="15"/>
  <c r="K54" i="15"/>
  <c r="H54" i="15"/>
  <c r="G54" i="15"/>
  <c r="C54" i="15"/>
  <c r="E54" i="15"/>
  <c r="I54" i="15"/>
  <c r="F54" i="15"/>
  <c r="D54" i="15"/>
  <c r="M126" i="15"/>
  <c r="N126" i="15"/>
  <c r="K126" i="15"/>
  <c r="L126" i="15"/>
  <c r="I126" i="15"/>
  <c r="J126" i="15"/>
  <c r="F126" i="15"/>
  <c r="E126" i="15"/>
  <c r="H126" i="15"/>
  <c r="G126" i="15"/>
  <c r="C126" i="15"/>
  <c r="D126" i="15"/>
  <c r="N63" i="15"/>
  <c r="K63" i="15"/>
  <c r="L63" i="15"/>
  <c r="M63" i="15"/>
  <c r="I63" i="15"/>
  <c r="J63" i="15"/>
  <c r="F63" i="15"/>
  <c r="G63" i="15"/>
  <c r="H63" i="15"/>
  <c r="D63" i="15"/>
  <c r="E63" i="15"/>
  <c r="C63" i="15"/>
  <c r="M60" i="15"/>
  <c r="N60" i="15"/>
  <c r="K60" i="15"/>
  <c r="H60" i="15"/>
  <c r="L60" i="15"/>
  <c r="I60" i="15"/>
  <c r="F60" i="15"/>
  <c r="J60" i="15"/>
  <c r="E60" i="15"/>
  <c r="G60" i="15"/>
  <c r="C60" i="15"/>
  <c r="D60" i="15"/>
  <c r="M118" i="15"/>
  <c r="N118" i="15"/>
  <c r="L118" i="15"/>
  <c r="K118" i="15"/>
  <c r="H118" i="15"/>
  <c r="I118" i="15"/>
  <c r="J118" i="15"/>
  <c r="D118" i="15"/>
  <c r="E118" i="15"/>
  <c r="G118" i="15"/>
  <c r="F118" i="15"/>
  <c r="C118" i="15"/>
  <c r="L93" i="15"/>
  <c r="M93" i="15"/>
  <c r="N93" i="15"/>
  <c r="K93" i="15"/>
  <c r="H93" i="15"/>
  <c r="I93" i="15"/>
  <c r="D93" i="15"/>
  <c r="J93" i="15"/>
  <c r="E93" i="15"/>
  <c r="F93" i="15"/>
  <c r="G93" i="15"/>
  <c r="C93" i="15"/>
  <c r="L101" i="15"/>
  <c r="M101" i="15"/>
  <c r="N101" i="15"/>
  <c r="H101" i="15"/>
  <c r="K101" i="15"/>
  <c r="I101" i="15"/>
  <c r="D101" i="15"/>
  <c r="E101" i="15"/>
  <c r="J101" i="15"/>
  <c r="G101" i="15"/>
  <c r="F101" i="15"/>
  <c r="C101" i="15"/>
  <c r="L62" i="15"/>
  <c r="M62" i="15"/>
  <c r="J62" i="15"/>
  <c r="K62" i="15"/>
  <c r="N62" i="15"/>
  <c r="G62" i="15"/>
  <c r="H62" i="15"/>
  <c r="I62" i="15"/>
  <c r="C62" i="15"/>
  <c r="E62" i="15"/>
  <c r="F62" i="15"/>
  <c r="D62" i="15"/>
  <c r="G33" i="15"/>
  <c r="F33" i="15"/>
  <c r="E33" i="15"/>
  <c r="H33" i="15"/>
  <c r="D33" i="15"/>
  <c r="H30" i="15"/>
  <c r="D30" i="15"/>
  <c r="G30" i="15"/>
  <c r="F30" i="15"/>
  <c r="E30" i="15"/>
  <c r="F40" i="15"/>
  <c r="E40" i="15"/>
  <c r="H40" i="15"/>
  <c r="D40" i="15"/>
  <c r="G40" i="15"/>
  <c r="G37" i="15"/>
  <c r="E37" i="15"/>
  <c r="F37" i="15"/>
  <c r="H37" i="15"/>
  <c r="D37" i="15"/>
  <c r="C35" i="15"/>
  <c r="E35" i="15"/>
  <c r="H35" i="15"/>
  <c r="D35" i="15"/>
  <c r="G35" i="15"/>
  <c r="F35" i="15"/>
  <c r="H29" i="15"/>
  <c r="C29" i="15"/>
  <c r="G29" i="15"/>
  <c r="D29" i="15"/>
  <c r="F29" i="15"/>
  <c r="E29" i="15"/>
  <c r="E39" i="15"/>
  <c r="H39" i="15"/>
  <c r="D39" i="15"/>
  <c r="G39" i="15"/>
  <c r="F39" i="15"/>
  <c r="H38" i="15"/>
  <c r="D38" i="15"/>
  <c r="G38" i="15"/>
  <c r="F38" i="15"/>
  <c r="E38" i="15"/>
  <c r="F36" i="15"/>
  <c r="D36" i="15"/>
  <c r="E36" i="15"/>
  <c r="H36" i="15"/>
  <c r="G36" i="15"/>
  <c r="E31" i="15"/>
  <c r="H31" i="15"/>
  <c r="D31" i="15"/>
  <c r="G31" i="15"/>
  <c r="F31" i="15"/>
  <c r="H34" i="15"/>
  <c r="D34" i="15"/>
  <c r="G34" i="15"/>
  <c r="F34" i="15"/>
  <c r="E34" i="15"/>
  <c r="F32" i="15"/>
  <c r="D32" i="15"/>
  <c r="E32" i="15"/>
  <c r="H32" i="15"/>
  <c r="G32" i="15"/>
  <c r="C39" i="15"/>
  <c r="C37" i="15"/>
  <c r="C33" i="15"/>
  <c r="C30" i="15"/>
  <c r="C38" i="15"/>
  <c r="C36" i="15"/>
  <c r="C31" i="15"/>
  <c r="C40" i="15"/>
  <c r="C34" i="15"/>
  <c r="C32" i="15"/>
  <c r="K12" i="15"/>
  <c r="K13" i="15"/>
  <c r="K14" i="15"/>
  <c r="K15" i="15"/>
  <c r="K16" i="15"/>
  <c r="K17" i="15"/>
  <c r="K18" i="15"/>
  <c r="K19" i="15"/>
  <c r="K20" i="15"/>
  <c r="K21" i="15"/>
  <c r="K22" i="15"/>
  <c r="K11" i="15"/>
  <c r="I11" i="14"/>
  <c r="I12" i="14"/>
  <c r="I13" i="14"/>
  <c r="I14" i="14"/>
  <c r="I15" i="14"/>
  <c r="H12" i="15"/>
  <c r="H13" i="15"/>
  <c r="H14" i="15"/>
  <c r="H15" i="15"/>
  <c r="H16" i="15"/>
  <c r="H17" i="15"/>
  <c r="H18" i="15"/>
  <c r="H19" i="15"/>
  <c r="H20" i="15"/>
  <c r="H21" i="15"/>
  <c r="H22" i="15"/>
  <c r="H11" i="15"/>
  <c r="G12" i="15"/>
  <c r="G13" i="15"/>
  <c r="G14" i="15"/>
  <c r="G15" i="15"/>
  <c r="G16" i="15"/>
  <c r="G17" i="15"/>
  <c r="G18" i="15"/>
  <c r="G19" i="15"/>
  <c r="G20" i="15"/>
  <c r="G21" i="15"/>
  <c r="G22" i="15"/>
  <c r="G11" i="15"/>
  <c r="E12" i="15"/>
  <c r="E13" i="15"/>
  <c r="E14" i="15"/>
  <c r="E15" i="15"/>
  <c r="E16" i="15"/>
  <c r="E17" i="15"/>
  <c r="E18" i="15"/>
  <c r="E19" i="15"/>
  <c r="E20" i="15"/>
  <c r="E21" i="15"/>
  <c r="E22" i="15"/>
  <c r="E11" i="15"/>
  <c r="D12" i="15"/>
  <c r="D13" i="15"/>
  <c r="D14" i="15"/>
  <c r="D15" i="15"/>
  <c r="D16" i="15"/>
  <c r="D17" i="15"/>
  <c r="D18" i="15"/>
  <c r="D19" i="15"/>
  <c r="D20" i="15"/>
  <c r="D21" i="15"/>
  <c r="D22" i="15"/>
  <c r="D11" i="15"/>
  <c r="G11" i="14"/>
  <c r="G12" i="14"/>
  <c r="G13" i="14"/>
  <c r="G14" i="14"/>
  <c r="G15" i="14"/>
  <c r="G10" i="14"/>
  <c r="F11" i="14"/>
  <c r="F12" i="14"/>
  <c r="F13" i="14"/>
  <c r="F14" i="14"/>
  <c r="F15" i="14"/>
  <c r="F10" i="14"/>
  <c r="D11" i="14"/>
  <c r="D12" i="14"/>
  <c r="D13" i="14"/>
  <c r="D14" i="14"/>
  <c r="D15" i="14"/>
  <c r="D10" i="14"/>
  <c r="C11" i="14"/>
  <c r="C12" i="14"/>
  <c r="C13" i="14"/>
  <c r="C14" i="14"/>
  <c r="C15" i="14"/>
  <c r="C10" i="14"/>
  <c r="Q837" i="12"/>
  <c r="R837" i="12"/>
  <c r="S500" i="3"/>
  <c r="T500" i="3"/>
  <c r="Q1124" i="12"/>
  <c r="R1124" i="12"/>
  <c r="Q825" i="12"/>
  <c r="R825" i="12"/>
  <c r="G498" i="3"/>
  <c r="S498" i="3"/>
  <c r="T498" i="3"/>
  <c r="Q823" i="12"/>
  <c r="R823" i="12"/>
  <c r="G494" i="3"/>
  <c r="S494" i="3"/>
  <c r="T494" i="3"/>
  <c r="Q113" i="12"/>
  <c r="R113" i="12"/>
  <c r="S516" i="3"/>
  <c r="T516" i="3"/>
  <c r="Q758" i="12"/>
  <c r="R758" i="12"/>
  <c r="Q746" i="12"/>
  <c r="R746" i="12"/>
  <c r="Q820" i="12"/>
  <c r="R820" i="12"/>
  <c r="Q793" i="12"/>
  <c r="R793" i="12"/>
  <c r="G511" i="3"/>
  <c r="G510" i="3"/>
  <c r="S510" i="3"/>
  <c r="T510" i="3"/>
  <c r="S511" i="3"/>
  <c r="T511" i="3"/>
  <c r="AA66" i="15" l="1"/>
  <c r="AB66" i="15"/>
  <c r="W84" i="15"/>
  <c r="U84" i="15"/>
  <c r="R66" i="15"/>
  <c r="V84" i="15"/>
  <c r="AA84" i="15"/>
  <c r="T84" i="15"/>
  <c r="U66" i="15"/>
  <c r="Y84" i="15"/>
  <c r="V66" i="15"/>
  <c r="Z84" i="15"/>
  <c r="S66" i="15"/>
  <c r="T66" i="15"/>
  <c r="X84" i="15"/>
  <c r="Y66" i="15"/>
  <c r="AC84" i="15"/>
  <c r="Z66" i="15"/>
  <c r="W66" i="15"/>
  <c r="X54" i="15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AB84" i="15"/>
  <c r="AC66" i="15"/>
  <c r="S84" i="15"/>
  <c r="R84" i="15"/>
  <c r="O104" i="15"/>
  <c r="C16" i="14"/>
  <c r="D16" i="14"/>
  <c r="R42" i="15"/>
  <c r="W42" i="15"/>
  <c r="S42" i="15"/>
  <c r="N42" i="15"/>
  <c r="AA42" i="15"/>
  <c r="Z42" i="15"/>
  <c r="I30" i="15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T42" i="15"/>
  <c r="U42" i="15"/>
  <c r="K42" i="15"/>
  <c r="M42" i="15"/>
  <c r="X42" i="15"/>
  <c r="Y42" i="15"/>
  <c r="K23" i="15"/>
  <c r="O85" i="15"/>
  <c r="O57" i="15"/>
  <c r="O110" i="15"/>
  <c r="O117" i="15"/>
  <c r="O112" i="15"/>
  <c r="O139" i="15"/>
  <c r="L42" i="15"/>
  <c r="AB42" i="15"/>
  <c r="J42" i="15"/>
  <c r="AC42" i="15"/>
  <c r="V42" i="15"/>
  <c r="O59" i="15"/>
  <c r="O79" i="15"/>
  <c r="O99" i="15"/>
  <c r="O116" i="15"/>
  <c r="O71" i="15"/>
  <c r="O69" i="15"/>
  <c r="O103" i="15"/>
  <c r="O130" i="15"/>
  <c r="O121" i="15"/>
  <c r="O80" i="15"/>
  <c r="O135" i="15"/>
  <c r="O83" i="15"/>
  <c r="O125" i="15"/>
  <c r="O97" i="15"/>
  <c r="O55" i="15"/>
  <c r="O131" i="15"/>
  <c r="O127" i="15"/>
  <c r="O65" i="15"/>
  <c r="O73" i="15"/>
  <c r="O92" i="15"/>
  <c r="O81" i="15"/>
  <c r="O101" i="15"/>
  <c r="O93" i="15"/>
  <c r="O118" i="15"/>
  <c r="O63" i="15"/>
  <c r="O89" i="15"/>
  <c r="O133" i="15"/>
  <c r="O132" i="15"/>
  <c r="O123" i="15"/>
  <c r="O77" i="15"/>
  <c r="O84" i="15"/>
  <c r="O76" i="15"/>
  <c r="O114" i="15"/>
  <c r="O87" i="15"/>
  <c r="O108" i="15"/>
  <c r="O88" i="15"/>
  <c r="O75" i="15"/>
  <c r="O68" i="15"/>
  <c r="O61" i="15"/>
  <c r="O72" i="15"/>
  <c r="O67" i="15"/>
  <c r="O91" i="15"/>
  <c r="O95" i="15"/>
  <c r="G42" i="15"/>
  <c r="E42" i="15"/>
  <c r="O54" i="15"/>
  <c r="O74" i="15"/>
  <c r="O78" i="15"/>
  <c r="O70" i="15"/>
  <c r="O111" i="15"/>
  <c r="C42" i="15"/>
  <c r="O86" i="15"/>
  <c r="O58" i="15"/>
  <c r="F42" i="15"/>
  <c r="H42" i="15"/>
  <c r="O60" i="15"/>
  <c r="O126" i="15"/>
  <c r="O56" i="15"/>
  <c r="O122" i="15"/>
  <c r="O113" i="15"/>
  <c r="O96" i="15"/>
  <c r="O64" i="15"/>
  <c r="O82" i="15"/>
  <c r="O109" i="15"/>
  <c r="O136" i="15"/>
  <c r="O137" i="15"/>
  <c r="O129" i="15"/>
  <c r="D42" i="15"/>
  <c r="O62" i="15"/>
  <c r="O102" i="15"/>
  <c r="O115" i="15"/>
  <c r="O66" i="15"/>
  <c r="O134" i="15"/>
  <c r="O90" i="15"/>
  <c r="O94" i="15"/>
  <c r="O107" i="15"/>
  <c r="O124" i="15"/>
  <c r="O119" i="15"/>
  <c r="O98" i="15"/>
  <c r="E23" i="15"/>
  <c r="G23" i="15"/>
  <c r="H23" i="15"/>
  <c r="D23" i="15"/>
  <c r="I16" i="14"/>
  <c r="G16" i="14"/>
  <c r="F16" i="14"/>
  <c r="E82" i="12"/>
  <c r="E81" i="12"/>
  <c r="E80" i="12"/>
  <c r="E79" i="12"/>
  <c r="E51" i="12"/>
  <c r="E50" i="12"/>
  <c r="E49" i="12"/>
  <c r="E48" i="12"/>
  <c r="E47" i="12"/>
  <c r="E44" i="12"/>
  <c r="E43" i="12"/>
  <c r="E42" i="12"/>
  <c r="E38" i="12"/>
  <c r="E37" i="12"/>
  <c r="E36" i="12"/>
  <c r="E34" i="12"/>
  <c r="E33" i="12"/>
  <c r="E32" i="12"/>
  <c r="E31" i="12"/>
  <c r="E29" i="12"/>
  <c r="E30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764" i="12"/>
  <c r="E763" i="12"/>
  <c r="E762" i="12"/>
  <c r="E688" i="12"/>
  <c r="E1094" i="12"/>
  <c r="E1093" i="12"/>
  <c r="E1092" i="12"/>
  <c r="E1091" i="12"/>
  <c r="E1090" i="12"/>
  <c r="E1073" i="12"/>
  <c r="Q843" i="12"/>
  <c r="R843" i="12"/>
  <c r="Q868" i="12"/>
  <c r="R868" i="12"/>
  <c r="S506" i="3"/>
  <c r="T506" i="3"/>
  <c r="S501" i="3"/>
  <c r="T501" i="3"/>
  <c r="Q400" i="12"/>
  <c r="R400" i="12"/>
  <c r="Q399" i="12"/>
  <c r="R399" i="12"/>
  <c r="S503" i="3"/>
  <c r="T503" i="3"/>
  <c r="Q826" i="12"/>
  <c r="R826" i="12"/>
  <c r="G507" i="3"/>
  <c r="S507" i="3"/>
  <c r="T507" i="3"/>
  <c r="G517" i="3"/>
  <c r="S517" i="3"/>
  <c r="T517" i="3"/>
  <c r="Q1126" i="12"/>
  <c r="R1126" i="12"/>
  <c r="Q1125" i="12"/>
  <c r="R1125" i="12"/>
  <c r="G520" i="3"/>
  <c r="S520" i="3"/>
  <c r="T520" i="3"/>
  <c r="Q833" i="12"/>
  <c r="R833" i="12"/>
  <c r="Q834" i="12"/>
  <c r="R834" i="12"/>
  <c r="Q835" i="12"/>
  <c r="R835" i="12"/>
  <c r="Q836" i="12"/>
  <c r="R836" i="12"/>
  <c r="Q110" i="12"/>
  <c r="R110" i="12"/>
  <c r="Q111" i="12"/>
  <c r="R111" i="12"/>
  <c r="Q99" i="12"/>
  <c r="R99" i="12"/>
  <c r="Q100" i="12"/>
  <c r="R100" i="12"/>
  <c r="Q101" i="12"/>
  <c r="R101" i="12"/>
  <c r="Q102" i="12"/>
  <c r="R102" i="12"/>
  <c r="Q103" i="12"/>
  <c r="R103" i="12"/>
  <c r="Q104" i="12"/>
  <c r="R104" i="12"/>
  <c r="Q105" i="12"/>
  <c r="R105" i="12"/>
  <c r="Q106" i="12"/>
  <c r="R106" i="12"/>
  <c r="Q107" i="12"/>
  <c r="R107" i="12"/>
  <c r="Q108" i="12"/>
  <c r="R108" i="12"/>
  <c r="Q109" i="12"/>
  <c r="R109" i="12"/>
  <c r="Q112" i="12"/>
  <c r="R112" i="12"/>
  <c r="F499" i="3"/>
  <c r="G499" i="3" s="1"/>
  <c r="S499" i="3"/>
  <c r="T499" i="3"/>
  <c r="Q824" i="12"/>
  <c r="R824" i="12"/>
  <c r="G493" i="3"/>
  <c r="S493" i="3"/>
  <c r="T493" i="3"/>
  <c r="Q874" i="12"/>
  <c r="R874" i="12"/>
  <c r="Q875" i="12"/>
  <c r="R875" i="12"/>
  <c r="Q905" i="12"/>
  <c r="R905" i="12"/>
  <c r="Q869" i="12"/>
  <c r="R869" i="12"/>
  <c r="Q887" i="12"/>
  <c r="R887" i="12"/>
  <c r="Q817" i="12"/>
  <c r="R817" i="12"/>
  <c r="G487" i="3"/>
  <c r="S487" i="3"/>
  <c r="T487" i="3"/>
  <c r="Q816" i="12"/>
  <c r="R816" i="12"/>
  <c r="G486" i="3"/>
  <c r="S486" i="3"/>
  <c r="T486" i="3"/>
  <c r="G484" i="3"/>
  <c r="S484" i="3"/>
  <c r="T484" i="3"/>
  <c r="Q815" i="12"/>
  <c r="R815" i="12"/>
  <c r="G483" i="3"/>
  <c r="Q98" i="12"/>
  <c r="R98" i="12"/>
  <c r="S483" i="3"/>
  <c r="T483" i="3"/>
  <c r="S482" i="3"/>
  <c r="T482" i="3"/>
  <c r="G485" i="3"/>
  <c r="S485" i="3"/>
  <c r="T485" i="3"/>
  <c r="Q395" i="12"/>
  <c r="R395" i="12"/>
  <c r="Q396" i="12"/>
  <c r="R396" i="12"/>
  <c r="Q397" i="12"/>
  <c r="R397" i="12"/>
  <c r="Q398" i="12"/>
  <c r="R398" i="12"/>
  <c r="G488" i="3"/>
  <c r="G489" i="3"/>
  <c r="G629" i="3"/>
  <c r="G490" i="3"/>
  <c r="G491" i="3"/>
  <c r="S488" i="3"/>
  <c r="T488" i="3"/>
  <c r="S489" i="3"/>
  <c r="T489" i="3"/>
  <c r="S629" i="3"/>
  <c r="T629" i="3"/>
  <c r="S490" i="3"/>
  <c r="T490" i="3"/>
  <c r="S491" i="3"/>
  <c r="T491" i="3"/>
  <c r="Q1123" i="12"/>
  <c r="R1123" i="12"/>
  <c r="Q1122" i="12"/>
  <c r="R1122" i="12"/>
  <c r="Q1290" i="12"/>
  <c r="R1290" i="12"/>
  <c r="Q1121" i="12"/>
  <c r="R1121" i="12"/>
  <c r="Q1120" i="12"/>
  <c r="R1120" i="12"/>
  <c r="G467" i="3"/>
  <c r="S467" i="3"/>
  <c r="T467" i="3"/>
  <c r="Q798" i="12"/>
  <c r="R798" i="12"/>
  <c r="Q799" i="12"/>
  <c r="R799" i="12"/>
  <c r="Q800" i="12"/>
  <c r="R800" i="12"/>
  <c r="Q801" i="12"/>
  <c r="R801" i="12"/>
  <c r="Q802" i="12"/>
  <c r="R802" i="12"/>
  <c r="Q803" i="12"/>
  <c r="R803" i="12"/>
  <c r="Q804" i="12"/>
  <c r="R804" i="12"/>
  <c r="Q805" i="12"/>
  <c r="R805" i="12"/>
  <c r="Q806" i="12"/>
  <c r="R806" i="12"/>
  <c r="Q807" i="12"/>
  <c r="R807" i="12"/>
  <c r="Q808" i="12"/>
  <c r="R808" i="12"/>
  <c r="Q809" i="12"/>
  <c r="R809" i="12"/>
  <c r="Q810" i="12"/>
  <c r="R810" i="12"/>
  <c r="Q811" i="12"/>
  <c r="R811" i="12"/>
  <c r="Q812" i="12"/>
  <c r="R812" i="12"/>
  <c r="Q813" i="12"/>
  <c r="R813" i="12"/>
  <c r="S481" i="3"/>
  <c r="T481" i="3"/>
  <c r="Q394" i="12"/>
  <c r="R394" i="12"/>
  <c r="Q814" i="12"/>
  <c r="R814" i="12"/>
  <c r="S496" i="3"/>
  <c r="T496" i="3"/>
  <c r="S425" i="3"/>
  <c r="T425" i="3"/>
  <c r="G392" i="3"/>
  <c r="G357" i="3"/>
  <c r="G354" i="3"/>
  <c r="G348" i="3"/>
  <c r="G344" i="3"/>
  <c r="G343" i="3"/>
  <c r="G280" i="3"/>
  <c r="G279" i="3"/>
  <c r="G274" i="3"/>
  <c r="G272" i="3"/>
  <c r="G273" i="3"/>
  <c r="G223" i="3"/>
  <c r="X66" i="15" l="1"/>
  <c r="I42" i="15"/>
  <c r="G475" i="3"/>
  <c r="G474" i="3"/>
  <c r="F473" i="3"/>
  <c r="G473" i="3" s="1"/>
  <c r="G472" i="3"/>
  <c r="G471" i="3"/>
  <c r="G470" i="3"/>
  <c r="G469" i="3"/>
  <c r="G468" i="3"/>
  <c r="G462" i="3"/>
  <c r="G461" i="3"/>
  <c r="G460" i="3"/>
  <c r="S460" i="3"/>
  <c r="S461" i="3"/>
  <c r="S462" i="3"/>
  <c r="S468" i="3"/>
  <c r="S469" i="3"/>
  <c r="S470" i="3"/>
  <c r="S471" i="3"/>
  <c r="S472" i="3"/>
  <c r="S473" i="3"/>
  <c r="S474" i="3"/>
  <c r="S475" i="3"/>
  <c r="T460" i="3"/>
  <c r="T461" i="3"/>
  <c r="T462" i="3"/>
  <c r="T468" i="3"/>
  <c r="T469" i="3"/>
  <c r="T470" i="3"/>
  <c r="T471" i="3"/>
  <c r="T472" i="3"/>
  <c r="T473" i="3"/>
  <c r="T474" i="3"/>
  <c r="T475" i="3"/>
  <c r="Q778" i="12"/>
  <c r="R778" i="12"/>
  <c r="Q779" i="12"/>
  <c r="R779" i="12"/>
  <c r="Q780" i="12"/>
  <c r="R780" i="12"/>
  <c r="Q901" i="12"/>
  <c r="R901" i="12"/>
  <c r="Q782" i="12"/>
  <c r="R782" i="12"/>
  <c r="Q783" i="12"/>
  <c r="R783" i="12"/>
  <c r="Q784" i="12"/>
  <c r="R784" i="12"/>
  <c r="Q787" i="12"/>
  <c r="R787" i="12"/>
  <c r="Q822" i="12"/>
  <c r="R822" i="12"/>
  <c r="Q972" i="12"/>
  <c r="R972" i="12"/>
  <c r="Q788" i="12"/>
  <c r="R788" i="12"/>
  <c r="Q789" i="12"/>
  <c r="R789" i="12"/>
  <c r="Q790" i="12"/>
  <c r="R790" i="12"/>
  <c r="Q791" i="12"/>
  <c r="R791" i="12"/>
  <c r="Q870" i="12"/>
  <c r="R870" i="12"/>
  <c r="Q882" i="12"/>
  <c r="R882" i="12"/>
  <c r="Q794" i="12"/>
  <c r="R794" i="12"/>
  <c r="Q795" i="12"/>
  <c r="R795" i="12"/>
  <c r="Q796" i="12"/>
  <c r="R796" i="12"/>
  <c r="Q797" i="12"/>
  <c r="R797" i="12"/>
  <c r="Q97" i="12"/>
  <c r="R97" i="12"/>
  <c r="S476" i="3"/>
  <c r="T476" i="3"/>
  <c r="S480" i="3"/>
  <c r="T480" i="3"/>
  <c r="S479" i="3"/>
  <c r="T479" i="3"/>
  <c r="Q1119" i="12"/>
  <c r="R1119" i="12"/>
  <c r="Q1118" i="12"/>
  <c r="R1118" i="12"/>
  <c r="S377" i="3"/>
  <c r="T377" i="3"/>
  <c r="S434" i="3"/>
  <c r="T434" i="3"/>
  <c r="S315" i="3" l="1"/>
  <c r="T315" i="3"/>
  <c r="Q685" i="12"/>
  <c r="R685" i="12"/>
  <c r="S220" i="3" l="1"/>
  <c r="T220" i="3"/>
  <c r="S454" i="3"/>
  <c r="T454" i="3"/>
  <c r="S453" i="3"/>
  <c r="T453" i="3"/>
  <c r="S452" i="3"/>
  <c r="T452" i="3"/>
  <c r="S451" i="3"/>
  <c r="T451" i="3"/>
  <c r="S450" i="3"/>
  <c r="T450" i="3"/>
  <c r="S449" i="3"/>
  <c r="T449" i="3"/>
  <c r="Q73" i="12" l="1"/>
  <c r="R73" i="12"/>
  <c r="Q72" i="12"/>
  <c r="R72" i="12"/>
  <c r="G293" i="3"/>
  <c r="S294" i="3"/>
  <c r="T294" i="3"/>
  <c r="G437" i="3" l="1"/>
  <c r="G442" i="3"/>
  <c r="G443" i="3"/>
  <c r="G444" i="3"/>
  <c r="G445" i="3"/>
  <c r="G446" i="3"/>
  <c r="G447" i="3"/>
  <c r="S448" i="3"/>
  <c r="T448" i="3"/>
  <c r="S447" i="3"/>
  <c r="T447" i="3"/>
  <c r="S442" i="3"/>
  <c r="S443" i="3"/>
  <c r="S444" i="3"/>
  <c r="S445" i="3"/>
  <c r="S446" i="3"/>
  <c r="T442" i="3"/>
  <c r="T443" i="3"/>
  <c r="T444" i="3"/>
  <c r="T445" i="3"/>
  <c r="T446" i="3"/>
  <c r="S437" i="3"/>
  <c r="T437" i="3"/>
  <c r="Q777" i="12"/>
  <c r="R777" i="12"/>
  <c r="Q968" i="12"/>
  <c r="R968" i="12"/>
  <c r="Q775" i="12"/>
  <c r="R775" i="12"/>
  <c r="Q774" i="12"/>
  <c r="R774" i="12"/>
  <c r="Q773" i="12"/>
  <c r="R773" i="12"/>
  <c r="Q772" i="12"/>
  <c r="R772" i="12"/>
  <c r="Q771" i="12"/>
  <c r="R771" i="12"/>
  <c r="Q770" i="12"/>
  <c r="R770" i="12"/>
  <c r="Q769" i="12"/>
  <c r="R769" i="12"/>
  <c r="Q768" i="12"/>
  <c r="R768" i="12"/>
  <c r="Q767" i="12"/>
  <c r="R767" i="12"/>
  <c r="Q766" i="12"/>
  <c r="R766" i="12"/>
  <c r="Q761" i="12"/>
  <c r="R761" i="12"/>
  <c r="Q760" i="12"/>
  <c r="R760" i="12"/>
  <c r="Q759" i="12"/>
  <c r="R759" i="12"/>
  <c r="Q765" i="12"/>
  <c r="R765" i="12"/>
  <c r="Q950" i="12"/>
  <c r="R950" i="12"/>
  <c r="Q757" i="12"/>
  <c r="R757" i="12"/>
  <c r="Q756" i="12"/>
  <c r="R756" i="12"/>
  <c r="Q755" i="12"/>
  <c r="R755" i="12"/>
  <c r="Q754" i="12"/>
  <c r="R754" i="12"/>
  <c r="Q764" i="12"/>
  <c r="R764" i="12"/>
  <c r="Q763" i="12"/>
  <c r="R763" i="12"/>
  <c r="Q762" i="12"/>
  <c r="R762" i="12"/>
  <c r="Q1117" i="12"/>
  <c r="R1117" i="12"/>
  <c r="Q1116" i="12"/>
  <c r="R1116" i="12"/>
  <c r="Q1115" i="12"/>
  <c r="R1115" i="12"/>
  <c r="Q1114" i="12"/>
  <c r="R1114" i="12"/>
  <c r="Q1113" i="12"/>
  <c r="R1113" i="12"/>
  <c r="Q1112" i="12"/>
  <c r="R1112" i="12"/>
  <c r="Q1111" i="12"/>
  <c r="R1111" i="12"/>
  <c r="Q1110" i="12"/>
  <c r="R1110" i="12"/>
  <c r="Q1109" i="12"/>
  <c r="R1109" i="12"/>
  <c r="F457" i="3"/>
  <c r="G457" i="3" s="1"/>
  <c r="G456" i="3"/>
  <c r="F455" i="3"/>
  <c r="G455" i="3" s="1"/>
  <c r="G436" i="3"/>
  <c r="S457" i="3"/>
  <c r="T457" i="3"/>
  <c r="S456" i="3"/>
  <c r="T456" i="3"/>
  <c r="Q1108" i="12"/>
  <c r="R1108" i="12"/>
  <c r="Q1107" i="12"/>
  <c r="R1107" i="12"/>
  <c r="S455" i="3"/>
  <c r="T455" i="3"/>
  <c r="Q392" i="12"/>
  <c r="R392" i="12"/>
  <c r="Q391" i="12"/>
  <c r="R391" i="12"/>
  <c r="Q390" i="12"/>
  <c r="R390" i="12"/>
  <c r="Q389" i="12"/>
  <c r="R389" i="12"/>
  <c r="Q388" i="12"/>
  <c r="R388" i="12"/>
  <c r="Q387" i="12"/>
  <c r="R387" i="12"/>
  <c r="Q386" i="12"/>
  <c r="R386" i="12"/>
  <c r="Q96" i="12"/>
  <c r="R96" i="12"/>
  <c r="S433" i="3"/>
  <c r="T433" i="3"/>
  <c r="G439" i="3"/>
  <c r="G438" i="3"/>
  <c r="S438" i="3"/>
  <c r="T438" i="3"/>
  <c r="S439" i="3"/>
  <c r="T439" i="3"/>
  <c r="G431" i="3"/>
  <c r="G430" i="3"/>
  <c r="G428" i="3"/>
  <c r="F426" i="3"/>
  <c r="G426" i="3" s="1"/>
  <c r="S431" i="3"/>
  <c r="T431" i="3"/>
  <c r="S426" i="3"/>
  <c r="T426" i="3"/>
  <c r="S427" i="3"/>
  <c r="T427" i="3"/>
  <c r="S428" i="3"/>
  <c r="T428" i="3"/>
  <c r="S429" i="3"/>
  <c r="T429" i="3"/>
  <c r="S430" i="3"/>
  <c r="T430" i="3"/>
  <c r="S436" i="3"/>
  <c r="T436" i="3"/>
  <c r="G432" i="3"/>
  <c r="S432" i="3"/>
  <c r="T432" i="3"/>
  <c r="Q1103" i="12"/>
  <c r="R1103" i="12"/>
  <c r="S424" i="3"/>
  <c r="T424" i="3"/>
  <c r="S405" i="3"/>
  <c r="T405" i="3"/>
  <c r="S435" i="3"/>
  <c r="T435" i="3"/>
  <c r="Q380" i="12"/>
  <c r="R380" i="12"/>
  <c r="Q393" i="12"/>
  <c r="R393" i="12"/>
  <c r="Q695" i="12"/>
  <c r="R695" i="12"/>
  <c r="S321" i="3"/>
  <c r="T321" i="3"/>
  <c r="S422" i="3" l="1"/>
  <c r="T422" i="3"/>
  <c r="S412" i="3"/>
  <c r="T412" i="3"/>
  <c r="S421" i="3"/>
  <c r="T421" i="3"/>
  <c r="S411" i="3"/>
  <c r="T411" i="3"/>
  <c r="Q94" i="12"/>
  <c r="R94" i="12"/>
  <c r="Q88" i="12"/>
  <c r="R88" i="12"/>
  <c r="Q89" i="12"/>
  <c r="R89" i="12"/>
  <c r="Q90" i="12"/>
  <c r="R90" i="12"/>
  <c r="Q91" i="12"/>
  <c r="R91" i="12"/>
  <c r="Q92" i="12"/>
  <c r="R92" i="12"/>
  <c r="Q93" i="12"/>
  <c r="R93" i="12"/>
  <c r="Q95" i="12"/>
  <c r="R95" i="12"/>
  <c r="S420" i="3"/>
  <c r="T420" i="3"/>
  <c r="S419" i="3"/>
  <c r="T419" i="3"/>
  <c r="S418" i="3"/>
  <c r="T418" i="3"/>
  <c r="S417" i="3"/>
  <c r="T417" i="3"/>
  <c r="S416" i="3"/>
  <c r="T416" i="3"/>
  <c r="F423" i="3"/>
  <c r="G423" i="3" s="1"/>
  <c r="Q1106" i="12"/>
  <c r="R1106" i="12"/>
  <c r="Q1105" i="12"/>
  <c r="R1105" i="12"/>
  <c r="Q1104" i="12"/>
  <c r="R1104" i="12"/>
  <c r="S423" i="3"/>
  <c r="T423" i="3"/>
  <c r="Q949" i="12"/>
  <c r="R949" i="12"/>
  <c r="Q747" i="12"/>
  <c r="R747" i="12"/>
  <c r="Q748" i="12"/>
  <c r="R748" i="12"/>
  <c r="Q749" i="12"/>
  <c r="R749" i="12"/>
  <c r="Q750" i="12"/>
  <c r="R750" i="12"/>
  <c r="Q751" i="12"/>
  <c r="R751" i="12"/>
  <c r="Q752" i="12"/>
  <c r="R752" i="12"/>
  <c r="Q753" i="12"/>
  <c r="R753" i="12"/>
  <c r="G413" i="3"/>
  <c r="G414" i="3"/>
  <c r="S415" i="3"/>
  <c r="T415" i="3"/>
  <c r="S414" i="3"/>
  <c r="T414" i="3"/>
  <c r="S413" i="3"/>
  <c r="T413" i="3"/>
  <c r="Q87" i="12"/>
  <c r="R87" i="12"/>
  <c r="G409" i="3"/>
  <c r="S409" i="3"/>
  <c r="T409" i="3"/>
  <c r="Q743" i="12"/>
  <c r="R743" i="12"/>
  <c r="Q744" i="12"/>
  <c r="R744" i="12"/>
  <c r="Q724" i="12"/>
  <c r="R724" i="12"/>
  <c r="Q725" i="12"/>
  <c r="R725" i="12"/>
  <c r="Q726" i="12"/>
  <c r="R726" i="12"/>
  <c r="Q727" i="12"/>
  <c r="R727" i="12"/>
  <c r="Q728" i="12"/>
  <c r="R728" i="12"/>
  <c r="Q729" i="12"/>
  <c r="R729" i="12"/>
  <c r="Q730" i="12"/>
  <c r="R730" i="12"/>
  <c r="Q731" i="12"/>
  <c r="R731" i="12"/>
  <c r="Q732" i="12"/>
  <c r="R732" i="12"/>
  <c r="Q733" i="12"/>
  <c r="R733" i="12"/>
  <c r="Q734" i="12"/>
  <c r="R734" i="12"/>
  <c r="Q735" i="12"/>
  <c r="R735" i="12"/>
  <c r="Q736" i="12"/>
  <c r="R736" i="12"/>
  <c r="Q737" i="12"/>
  <c r="R737" i="12"/>
  <c r="Q738" i="12"/>
  <c r="R738" i="12"/>
  <c r="Q739" i="12"/>
  <c r="R739" i="12"/>
  <c r="Q740" i="12"/>
  <c r="R740" i="12"/>
  <c r="Q741" i="12"/>
  <c r="R741" i="12"/>
  <c r="Q742" i="12"/>
  <c r="R742" i="12"/>
  <c r="Q745" i="12"/>
  <c r="R745" i="12"/>
  <c r="Q1102" i="12"/>
  <c r="R1102" i="12"/>
  <c r="Q1101" i="12"/>
  <c r="R1101" i="12"/>
  <c r="G388" i="3"/>
  <c r="G389" i="3"/>
  <c r="G390" i="3"/>
  <c r="G391" i="3"/>
  <c r="G407" i="3"/>
  <c r="S388" i="3"/>
  <c r="T388" i="3"/>
  <c r="S389" i="3"/>
  <c r="T389" i="3"/>
  <c r="S390" i="3"/>
  <c r="T390" i="3"/>
  <c r="S391" i="3"/>
  <c r="T391" i="3"/>
  <c r="S392" i="3"/>
  <c r="T392" i="3"/>
  <c r="S407" i="3"/>
  <c r="T407" i="3"/>
  <c r="G406" i="3"/>
  <c r="G393" i="3"/>
  <c r="G394" i="3"/>
  <c r="G402" i="3"/>
  <c r="F403" i="3"/>
  <c r="G403" i="3" s="1"/>
  <c r="F410" i="3"/>
  <c r="G410" i="3" s="1"/>
  <c r="G387" i="3"/>
  <c r="G396" i="3"/>
  <c r="G397" i="3"/>
  <c r="G401" i="3"/>
  <c r="S410" i="3"/>
  <c r="T410" i="3"/>
  <c r="S399" i="3" l="1"/>
  <c r="T399" i="3"/>
  <c r="S401" i="3" l="1"/>
  <c r="T401" i="3"/>
  <c r="S400" i="3"/>
  <c r="T400" i="3"/>
  <c r="S397" i="3"/>
  <c r="T397" i="3"/>
  <c r="S398" i="3"/>
  <c r="T398" i="3"/>
  <c r="S396" i="3"/>
  <c r="T396" i="3"/>
  <c r="S395" i="3"/>
  <c r="T395" i="3"/>
  <c r="S387" i="3"/>
  <c r="T387" i="3"/>
  <c r="T10" i="3" l="1"/>
  <c r="T11" i="3"/>
  <c r="T12" i="3"/>
  <c r="T13" i="3"/>
  <c r="T14" i="3"/>
  <c r="T15" i="3"/>
  <c r="T16" i="3"/>
  <c r="T17" i="3"/>
  <c r="T18" i="3"/>
  <c r="T20" i="3"/>
  <c r="T21" i="3"/>
  <c r="T22" i="3"/>
  <c r="T25" i="3"/>
  <c r="T26" i="3"/>
  <c r="T23" i="3"/>
  <c r="T27" i="3"/>
  <c r="T24" i="3"/>
  <c r="T28" i="3"/>
  <c r="T29" i="3"/>
  <c r="T31" i="3"/>
  <c r="T32" i="3"/>
  <c r="T33" i="3"/>
  <c r="T35" i="3"/>
  <c r="T36" i="3"/>
  <c r="T37" i="3"/>
  <c r="T38" i="3"/>
  <c r="T39" i="3"/>
  <c r="T42" i="3"/>
  <c r="T40" i="3"/>
  <c r="T41" i="3"/>
  <c r="T44" i="3"/>
  <c r="T43" i="3"/>
  <c r="T45" i="3"/>
  <c r="T46" i="3"/>
  <c r="T48" i="3"/>
  <c r="T49" i="3"/>
  <c r="T50" i="3"/>
  <c r="T47" i="3"/>
  <c r="T51" i="3"/>
  <c r="T52" i="3"/>
  <c r="T55" i="3"/>
  <c r="T54" i="3"/>
  <c r="T53" i="3"/>
  <c r="T56" i="3"/>
  <c r="T57" i="3"/>
  <c r="T58" i="3"/>
  <c r="T59" i="3"/>
  <c r="T60" i="3"/>
  <c r="T61" i="3"/>
  <c r="T62" i="3"/>
  <c r="T69" i="3"/>
  <c r="T71" i="3"/>
  <c r="T67" i="3"/>
  <c r="T63" i="3"/>
  <c r="T64" i="3"/>
  <c r="T70" i="3"/>
  <c r="T68" i="3"/>
  <c r="T66" i="3"/>
  <c r="T65" i="3"/>
  <c r="T72" i="3"/>
  <c r="T73" i="3"/>
  <c r="T74" i="3"/>
  <c r="T76" i="3"/>
  <c r="T77" i="3"/>
  <c r="T78" i="3"/>
  <c r="T75" i="3"/>
  <c r="T80" i="3"/>
  <c r="T81" i="3"/>
  <c r="T79" i="3"/>
  <c r="T82" i="3"/>
  <c r="T83" i="3"/>
  <c r="T85" i="3"/>
  <c r="T86" i="3"/>
  <c r="T87" i="3"/>
  <c r="T84" i="3"/>
  <c r="T92" i="3"/>
  <c r="T91" i="3"/>
  <c r="T89" i="3"/>
  <c r="T90" i="3"/>
  <c r="T93" i="3"/>
  <c r="T88" i="3"/>
  <c r="T94" i="3"/>
  <c r="T96" i="3"/>
  <c r="T97" i="3"/>
  <c r="T98" i="3"/>
  <c r="T99" i="3"/>
  <c r="T95" i="3"/>
  <c r="T100" i="3"/>
  <c r="T101" i="3"/>
  <c r="T105" i="3"/>
  <c r="T104" i="3"/>
  <c r="T103" i="3"/>
  <c r="T102" i="3"/>
  <c r="T106" i="3"/>
  <c r="T107" i="3"/>
  <c r="T108" i="3"/>
  <c r="T109" i="3"/>
  <c r="T114" i="3"/>
  <c r="T112" i="3"/>
  <c r="T113" i="3"/>
  <c r="T110" i="3"/>
  <c r="T111" i="3"/>
  <c r="T115" i="3"/>
  <c r="T116" i="3"/>
  <c r="T117" i="3"/>
  <c r="T118" i="3"/>
  <c r="T121" i="3"/>
  <c r="T119" i="3"/>
  <c r="T120" i="3"/>
  <c r="T122" i="3"/>
  <c r="T123" i="3"/>
  <c r="T124" i="3"/>
  <c r="T125" i="3"/>
  <c r="T128" i="3"/>
  <c r="T133" i="3"/>
  <c r="T127" i="3"/>
  <c r="T126" i="3"/>
  <c r="T129" i="3"/>
  <c r="T130" i="3"/>
  <c r="T131" i="3"/>
  <c r="T132" i="3"/>
  <c r="T137" i="3"/>
  <c r="T136" i="3"/>
  <c r="T135" i="3"/>
  <c r="T134" i="3"/>
  <c r="T144" i="3"/>
  <c r="T138" i="3"/>
  <c r="T139" i="3"/>
  <c r="T142" i="3"/>
  <c r="T143" i="3"/>
  <c r="T140" i="3"/>
  <c r="T141" i="3"/>
  <c r="T146" i="3"/>
  <c r="T145" i="3"/>
  <c r="T147" i="3"/>
  <c r="T148" i="3"/>
  <c r="T149" i="3"/>
  <c r="T150" i="3"/>
  <c r="T152" i="3"/>
  <c r="T153" i="3"/>
  <c r="T154" i="3"/>
  <c r="T151" i="3"/>
  <c r="T161" i="3"/>
  <c r="T160" i="3"/>
  <c r="T162" i="3"/>
  <c r="T159" i="3"/>
  <c r="T155" i="3"/>
  <c r="T158" i="3"/>
  <c r="T156" i="3"/>
  <c r="T157" i="3"/>
  <c r="T163" i="3"/>
  <c r="T169" i="3"/>
  <c r="T167" i="3"/>
  <c r="T168" i="3"/>
  <c r="T166" i="3"/>
  <c r="T165" i="3"/>
  <c r="T164" i="3"/>
  <c r="T170" i="3"/>
  <c r="T171" i="3"/>
  <c r="T173" i="3"/>
  <c r="T172" i="3"/>
  <c r="T176" i="3"/>
  <c r="T175" i="3"/>
  <c r="T174" i="3"/>
  <c r="T179" i="3"/>
  <c r="T180" i="3"/>
  <c r="T178" i="3"/>
  <c r="T177" i="3"/>
  <c r="T181" i="3"/>
  <c r="T182" i="3"/>
  <c r="T185" i="3"/>
  <c r="T186" i="3"/>
  <c r="T184" i="3"/>
  <c r="T183" i="3"/>
  <c r="T187" i="3"/>
  <c r="T188" i="3"/>
  <c r="T189" i="3"/>
  <c r="T190" i="3"/>
  <c r="T191" i="3"/>
  <c r="T195" i="3"/>
  <c r="T192" i="3"/>
  <c r="T193" i="3"/>
  <c r="T194" i="3"/>
  <c r="T196" i="3"/>
  <c r="T203" i="3"/>
  <c r="T201" i="3"/>
  <c r="T202" i="3"/>
  <c r="T200" i="3"/>
  <c r="T199" i="3"/>
  <c r="T198" i="3"/>
  <c r="T197" i="3"/>
  <c r="T204" i="3"/>
  <c r="T205" i="3"/>
  <c r="T206" i="3"/>
  <c r="T207" i="3"/>
  <c r="T209" i="3"/>
  <c r="T210" i="3"/>
  <c r="T211" i="3"/>
  <c r="T212" i="3"/>
  <c r="T208" i="3"/>
  <c r="T214" i="3"/>
  <c r="T215" i="3"/>
  <c r="T213" i="3"/>
  <c r="T216" i="3"/>
  <c r="T217" i="3"/>
  <c r="T219" i="3"/>
  <c r="T221" i="3"/>
  <c r="T227" i="3"/>
  <c r="T222" i="3"/>
  <c r="T223" i="3"/>
  <c r="T226" i="3"/>
  <c r="T224" i="3"/>
  <c r="T225" i="3"/>
  <c r="T228" i="3"/>
  <c r="T229" i="3"/>
  <c r="T230" i="3"/>
  <c r="T231" i="3"/>
  <c r="T233" i="3"/>
  <c r="T232" i="3"/>
  <c r="T234" i="3"/>
  <c r="T235" i="3"/>
  <c r="T236" i="3"/>
  <c r="T237" i="3"/>
  <c r="T238" i="3"/>
  <c r="T261" i="3"/>
  <c r="T240" i="3"/>
  <c r="T242" i="3"/>
  <c r="T241" i="3"/>
  <c r="T239" i="3"/>
  <c r="T243" i="3"/>
  <c r="T246" i="3"/>
  <c r="T245" i="3"/>
  <c r="T244" i="3"/>
  <c r="T247" i="3"/>
  <c r="T248" i="3"/>
  <c r="T250" i="3"/>
  <c r="T249" i="3"/>
  <c r="T255" i="3"/>
  <c r="T256" i="3"/>
  <c r="T257" i="3"/>
  <c r="T260" i="3"/>
  <c r="T253" i="3"/>
  <c r="T251" i="3"/>
  <c r="T258" i="3"/>
  <c r="T259" i="3"/>
  <c r="T254" i="3"/>
  <c r="T252" i="3"/>
  <c r="T265" i="3"/>
  <c r="T262" i="3"/>
  <c r="T264" i="3"/>
  <c r="T263" i="3"/>
  <c r="T266" i="3"/>
  <c r="T273" i="3"/>
  <c r="T272" i="3"/>
  <c r="T270" i="3"/>
  <c r="T267" i="3"/>
  <c r="T275" i="3"/>
  <c r="T268" i="3"/>
  <c r="T269" i="3"/>
  <c r="T271" i="3"/>
  <c r="T274" i="3"/>
  <c r="T276" i="3"/>
  <c r="T277" i="3"/>
  <c r="T278" i="3"/>
  <c r="T279" i="3"/>
  <c r="T280" i="3"/>
  <c r="T284" i="3"/>
  <c r="T282" i="3"/>
  <c r="T283" i="3"/>
  <c r="T281" i="3"/>
  <c r="T285" i="3"/>
  <c r="T286" i="3"/>
  <c r="T287" i="3"/>
  <c r="T291" i="3"/>
  <c r="T288" i="3"/>
  <c r="T289" i="3"/>
  <c r="T290" i="3"/>
  <c r="T292" i="3"/>
  <c r="T293" i="3"/>
  <c r="T302" i="3"/>
  <c r="T303" i="3"/>
  <c r="T298" i="3"/>
  <c r="T299" i="3"/>
  <c r="T300" i="3"/>
  <c r="T301" i="3"/>
  <c r="T295" i="3"/>
  <c r="T296" i="3"/>
  <c r="T297" i="3"/>
  <c r="T305" i="3"/>
  <c r="T307" i="3"/>
  <c r="T306" i="3"/>
  <c r="T304" i="3"/>
  <c r="T310" i="3"/>
  <c r="T311" i="3"/>
  <c r="T308" i="3"/>
  <c r="T309" i="3"/>
  <c r="T317" i="3"/>
  <c r="T320" i="3"/>
  <c r="T312" i="3"/>
  <c r="T313" i="3"/>
  <c r="T314" i="3"/>
  <c r="T316" i="3"/>
  <c r="T319" i="3"/>
  <c r="T318" i="3"/>
  <c r="T329" i="3"/>
  <c r="T328" i="3"/>
  <c r="T322" i="3"/>
  <c r="T323" i="3"/>
  <c r="T324" i="3"/>
  <c r="T325" i="3"/>
  <c r="T326" i="3"/>
  <c r="T327" i="3"/>
  <c r="T330" i="3"/>
  <c r="T333" i="3"/>
  <c r="T331" i="3"/>
  <c r="T340" i="3"/>
  <c r="T341" i="3"/>
  <c r="T342" i="3"/>
  <c r="T332" i="3"/>
  <c r="T337" i="3"/>
  <c r="T336" i="3"/>
  <c r="T334" i="3"/>
  <c r="T335" i="3"/>
  <c r="T339" i="3"/>
  <c r="T338" i="3"/>
  <c r="T343" i="3"/>
  <c r="T344" i="3"/>
  <c r="T345" i="3"/>
  <c r="T346" i="3"/>
  <c r="T347" i="3"/>
  <c r="T353" i="3"/>
  <c r="T348" i="3"/>
  <c r="T352" i="3"/>
  <c r="T349" i="3"/>
  <c r="T351" i="3"/>
  <c r="T350" i="3"/>
  <c r="T361" i="3"/>
  <c r="T358" i="3"/>
  <c r="T359" i="3"/>
  <c r="T360" i="3"/>
  <c r="T354" i="3"/>
  <c r="T355" i="3"/>
  <c r="T356" i="3"/>
  <c r="T357" i="3"/>
  <c r="T362" i="3"/>
  <c r="T363" i="3"/>
  <c r="T364" i="3"/>
  <c r="T365" i="3"/>
  <c r="T378" i="3"/>
  <c r="T379" i="3"/>
  <c r="T367" i="3"/>
  <c r="T368" i="3"/>
  <c r="T369" i="3"/>
  <c r="T370" i="3"/>
  <c r="T371" i="3"/>
  <c r="T372" i="3"/>
  <c r="T374" i="3"/>
  <c r="T373" i="3"/>
  <c r="T375" i="3"/>
  <c r="T376" i="3"/>
  <c r="T366" i="3"/>
  <c r="T380" i="3"/>
  <c r="T386" i="3"/>
  <c r="T381" i="3"/>
  <c r="T382" i="3"/>
  <c r="T384" i="3"/>
  <c r="T385" i="3"/>
  <c r="T383" i="3"/>
  <c r="T404" i="3"/>
  <c r="T406" i="3"/>
  <c r="T393" i="3"/>
  <c r="T394" i="3"/>
  <c r="T402" i="3"/>
  <c r="T403" i="3"/>
  <c r="S11" i="3"/>
  <c r="S12" i="3"/>
  <c r="S13" i="3"/>
  <c r="S14" i="3"/>
  <c r="S15" i="3"/>
  <c r="S16" i="3"/>
  <c r="S17" i="3"/>
  <c r="S18" i="3"/>
  <c r="S20" i="3"/>
  <c r="S21" i="3"/>
  <c r="S22" i="3"/>
  <c r="S25" i="3"/>
  <c r="S26" i="3"/>
  <c r="S23" i="3"/>
  <c r="S27" i="3"/>
  <c r="S24" i="3"/>
  <c r="S28" i="3"/>
  <c r="S29" i="3"/>
  <c r="S31" i="3"/>
  <c r="S32" i="3"/>
  <c r="S33" i="3"/>
  <c r="S35" i="3"/>
  <c r="S36" i="3"/>
  <c r="S37" i="3"/>
  <c r="S38" i="3"/>
  <c r="S39" i="3"/>
  <c r="S42" i="3"/>
  <c r="S40" i="3"/>
  <c r="S41" i="3"/>
  <c r="S44" i="3"/>
  <c r="S43" i="3"/>
  <c r="S45" i="3"/>
  <c r="S46" i="3"/>
  <c r="S48" i="3"/>
  <c r="S49" i="3"/>
  <c r="S50" i="3"/>
  <c r="S47" i="3"/>
  <c r="S51" i="3"/>
  <c r="S52" i="3"/>
  <c r="S55" i="3"/>
  <c r="S54" i="3"/>
  <c r="S53" i="3"/>
  <c r="S56" i="3"/>
  <c r="S57" i="3"/>
  <c r="S58" i="3"/>
  <c r="S59" i="3"/>
  <c r="S60" i="3"/>
  <c r="S61" i="3"/>
  <c r="S62" i="3"/>
  <c r="S69" i="3"/>
  <c r="S71" i="3"/>
  <c r="S67" i="3"/>
  <c r="S63" i="3"/>
  <c r="S64" i="3"/>
  <c r="S70" i="3"/>
  <c r="S68" i="3"/>
  <c r="S66" i="3"/>
  <c r="S65" i="3"/>
  <c r="S72" i="3"/>
  <c r="S73" i="3"/>
  <c r="S74" i="3"/>
  <c r="S76" i="3"/>
  <c r="S77" i="3"/>
  <c r="S78" i="3"/>
  <c r="S75" i="3"/>
  <c r="S80" i="3"/>
  <c r="S81" i="3"/>
  <c r="S79" i="3"/>
  <c r="S82" i="3"/>
  <c r="S83" i="3"/>
  <c r="S85" i="3"/>
  <c r="S86" i="3"/>
  <c r="S87" i="3"/>
  <c r="S84" i="3"/>
  <c r="S92" i="3"/>
  <c r="S91" i="3"/>
  <c r="S89" i="3"/>
  <c r="S90" i="3"/>
  <c r="S93" i="3"/>
  <c r="S88" i="3"/>
  <c r="S94" i="3"/>
  <c r="S96" i="3"/>
  <c r="S97" i="3"/>
  <c r="S98" i="3"/>
  <c r="S99" i="3"/>
  <c r="S95" i="3"/>
  <c r="S100" i="3"/>
  <c r="S101" i="3"/>
  <c r="S105" i="3"/>
  <c r="S104" i="3"/>
  <c r="S103" i="3"/>
  <c r="S102" i="3"/>
  <c r="S106" i="3"/>
  <c r="S107" i="3"/>
  <c r="S108" i="3"/>
  <c r="S109" i="3"/>
  <c r="S114" i="3"/>
  <c r="S112" i="3"/>
  <c r="S113" i="3"/>
  <c r="S110" i="3"/>
  <c r="S111" i="3"/>
  <c r="S115" i="3"/>
  <c r="S116" i="3"/>
  <c r="S117" i="3"/>
  <c r="S118" i="3"/>
  <c r="S121" i="3"/>
  <c r="S119" i="3"/>
  <c r="S120" i="3"/>
  <c r="S122" i="3"/>
  <c r="S123" i="3"/>
  <c r="S124" i="3"/>
  <c r="S125" i="3"/>
  <c r="S128" i="3"/>
  <c r="S133" i="3"/>
  <c r="S127" i="3"/>
  <c r="S126" i="3"/>
  <c r="S129" i="3"/>
  <c r="S130" i="3"/>
  <c r="S131" i="3"/>
  <c r="S132" i="3"/>
  <c r="S137" i="3"/>
  <c r="S136" i="3"/>
  <c r="S135" i="3"/>
  <c r="S134" i="3"/>
  <c r="S144" i="3"/>
  <c r="S138" i="3"/>
  <c r="S139" i="3"/>
  <c r="S142" i="3"/>
  <c r="S143" i="3"/>
  <c r="S140" i="3"/>
  <c r="S141" i="3"/>
  <c r="S146" i="3"/>
  <c r="S145" i="3"/>
  <c r="S147" i="3"/>
  <c r="S148" i="3"/>
  <c r="S149" i="3"/>
  <c r="S150" i="3"/>
  <c r="S152" i="3"/>
  <c r="S153" i="3"/>
  <c r="S154" i="3"/>
  <c r="S151" i="3"/>
  <c r="S161" i="3"/>
  <c r="S160" i="3"/>
  <c r="S162" i="3"/>
  <c r="S159" i="3"/>
  <c r="S155" i="3"/>
  <c r="S158" i="3"/>
  <c r="S156" i="3"/>
  <c r="S157" i="3"/>
  <c r="S163" i="3"/>
  <c r="S169" i="3"/>
  <c r="S167" i="3"/>
  <c r="S168" i="3"/>
  <c r="S166" i="3"/>
  <c r="S165" i="3"/>
  <c r="S164" i="3"/>
  <c r="S170" i="3"/>
  <c r="S171" i="3"/>
  <c r="S173" i="3"/>
  <c r="S172" i="3"/>
  <c r="S176" i="3"/>
  <c r="S175" i="3"/>
  <c r="S174" i="3"/>
  <c r="S179" i="3"/>
  <c r="S180" i="3"/>
  <c r="S178" i="3"/>
  <c r="S177" i="3"/>
  <c r="S181" i="3"/>
  <c r="S182" i="3"/>
  <c r="S185" i="3"/>
  <c r="S186" i="3"/>
  <c r="S184" i="3"/>
  <c r="S183" i="3"/>
  <c r="S187" i="3"/>
  <c r="S188" i="3"/>
  <c r="S189" i="3"/>
  <c r="S190" i="3"/>
  <c r="S191" i="3"/>
  <c r="S195" i="3"/>
  <c r="S192" i="3"/>
  <c r="S193" i="3"/>
  <c r="S194" i="3"/>
  <c r="S196" i="3"/>
  <c r="S203" i="3"/>
  <c r="S201" i="3"/>
  <c r="S202" i="3"/>
  <c r="S200" i="3"/>
  <c r="S199" i="3"/>
  <c r="S198" i="3"/>
  <c r="S197" i="3"/>
  <c r="S204" i="3"/>
  <c r="S205" i="3"/>
  <c r="S206" i="3"/>
  <c r="S207" i="3"/>
  <c r="S209" i="3"/>
  <c r="S210" i="3"/>
  <c r="S211" i="3"/>
  <c r="S212" i="3"/>
  <c r="S208" i="3"/>
  <c r="S214" i="3"/>
  <c r="S215" i="3"/>
  <c r="S213" i="3"/>
  <c r="S216" i="3"/>
  <c r="S217" i="3"/>
  <c r="S219" i="3"/>
  <c r="S221" i="3"/>
  <c r="S227" i="3"/>
  <c r="S222" i="3"/>
  <c r="S223" i="3"/>
  <c r="S226" i="3"/>
  <c r="S224" i="3"/>
  <c r="S225" i="3"/>
  <c r="S228" i="3"/>
  <c r="S229" i="3"/>
  <c r="S230" i="3"/>
  <c r="S231" i="3"/>
  <c r="S233" i="3"/>
  <c r="S232" i="3"/>
  <c r="S234" i="3"/>
  <c r="S235" i="3"/>
  <c r="S236" i="3"/>
  <c r="S237" i="3"/>
  <c r="S238" i="3"/>
  <c r="S261" i="3"/>
  <c r="S240" i="3"/>
  <c r="S242" i="3"/>
  <c r="S241" i="3"/>
  <c r="S239" i="3"/>
  <c r="S243" i="3"/>
  <c r="S246" i="3"/>
  <c r="S245" i="3"/>
  <c r="S244" i="3"/>
  <c r="S247" i="3"/>
  <c r="S248" i="3"/>
  <c r="S250" i="3"/>
  <c r="S249" i="3"/>
  <c r="S255" i="3"/>
  <c r="S256" i="3"/>
  <c r="S257" i="3"/>
  <c r="S260" i="3"/>
  <c r="S253" i="3"/>
  <c r="S251" i="3"/>
  <c r="S258" i="3"/>
  <c r="S259" i="3"/>
  <c r="S254" i="3"/>
  <c r="S252" i="3"/>
  <c r="S265" i="3"/>
  <c r="S262" i="3"/>
  <c r="S264" i="3"/>
  <c r="S263" i="3"/>
  <c r="S266" i="3"/>
  <c r="S273" i="3"/>
  <c r="S272" i="3"/>
  <c r="S270" i="3"/>
  <c r="S267" i="3"/>
  <c r="S275" i="3"/>
  <c r="S268" i="3"/>
  <c r="S269" i="3"/>
  <c r="S271" i="3"/>
  <c r="S274" i="3"/>
  <c r="S276" i="3"/>
  <c r="S277" i="3"/>
  <c r="S278" i="3"/>
  <c r="S279" i="3"/>
  <c r="S280" i="3"/>
  <c r="S284" i="3"/>
  <c r="S282" i="3"/>
  <c r="S283" i="3"/>
  <c r="S281" i="3"/>
  <c r="S285" i="3"/>
  <c r="S286" i="3"/>
  <c r="S287" i="3"/>
  <c r="S291" i="3"/>
  <c r="S288" i="3"/>
  <c r="S289" i="3"/>
  <c r="S290" i="3"/>
  <c r="S292" i="3"/>
  <c r="S293" i="3"/>
  <c r="S302" i="3"/>
  <c r="S303" i="3"/>
  <c r="S298" i="3"/>
  <c r="S299" i="3"/>
  <c r="S300" i="3"/>
  <c r="S301" i="3"/>
  <c r="S295" i="3"/>
  <c r="S296" i="3"/>
  <c r="S297" i="3"/>
  <c r="S305" i="3"/>
  <c r="S307" i="3"/>
  <c r="S306" i="3"/>
  <c r="S304" i="3"/>
  <c r="S310" i="3"/>
  <c r="S311" i="3"/>
  <c r="S308" i="3"/>
  <c r="S309" i="3"/>
  <c r="S317" i="3"/>
  <c r="S320" i="3"/>
  <c r="S312" i="3"/>
  <c r="S313" i="3"/>
  <c r="S314" i="3"/>
  <c r="S316" i="3"/>
  <c r="S319" i="3"/>
  <c r="S318" i="3"/>
  <c r="S329" i="3"/>
  <c r="S328" i="3"/>
  <c r="S322" i="3"/>
  <c r="S323" i="3"/>
  <c r="S324" i="3"/>
  <c r="S325" i="3"/>
  <c r="S326" i="3"/>
  <c r="S327" i="3"/>
  <c r="S330" i="3"/>
  <c r="S333" i="3"/>
  <c r="S331" i="3"/>
  <c r="S340" i="3"/>
  <c r="S341" i="3"/>
  <c r="S342" i="3"/>
  <c r="S332" i="3"/>
  <c r="S337" i="3"/>
  <c r="S336" i="3"/>
  <c r="S334" i="3"/>
  <c r="S335" i="3"/>
  <c r="S339" i="3"/>
  <c r="S338" i="3"/>
  <c r="S343" i="3"/>
  <c r="S344" i="3"/>
  <c r="S345" i="3"/>
  <c r="S346" i="3"/>
  <c r="S347" i="3"/>
  <c r="S353" i="3"/>
  <c r="S348" i="3"/>
  <c r="S352" i="3"/>
  <c r="S349" i="3"/>
  <c r="S351" i="3"/>
  <c r="S350" i="3"/>
  <c r="S361" i="3"/>
  <c r="S358" i="3"/>
  <c r="S359" i="3"/>
  <c r="S360" i="3"/>
  <c r="S354" i="3"/>
  <c r="S355" i="3"/>
  <c r="S356" i="3"/>
  <c r="S357" i="3"/>
  <c r="S362" i="3"/>
  <c r="S363" i="3"/>
  <c r="S364" i="3"/>
  <c r="S365" i="3"/>
  <c r="S378" i="3"/>
  <c r="S379" i="3"/>
  <c r="S367" i="3"/>
  <c r="S368" i="3"/>
  <c r="S369" i="3"/>
  <c r="S370" i="3"/>
  <c r="S371" i="3"/>
  <c r="S372" i="3"/>
  <c r="S374" i="3"/>
  <c r="S373" i="3"/>
  <c r="S375" i="3"/>
  <c r="S376" i="3"/>
  <c r="S366" i="3"/>
  <c r="S380" i="3"/>
  <c r="S386" i="3"/>
  <c r="S381" i="3"/>
  <c r="S382" i="3"/>
  <c r="S384" i="3"/>
  <c r="S385" i="3"/>
  <c r="S383" i="3"/>
  <c r="S404" i="3"/>
  <c r="S406" i="3"/>
  <c r="S393" i="3"/>
  <c r="S394" i="3"/>
  <c r="S402" i="3"/>
  <c r="S403" i="3"/>
  <c r="S10" i="3"/>
  <c r="Q1100" i="12"/>
  <c r="R1100" i="12"/>
  <c r="Q1098" i="12"/>
  <c r="R1098" i="12"/>
  <c r="Q1099" i="12"/>
  <c r="R1099" i="12"/>
  <c r="Q1097" i="12"/>
  <c r="R1097" i="12"/>
  <c r="Q85" i="12"/>
  <c r="R85" i="12"/>
  <c r="Q86" i="12"/>
  <c r="R86" i="12"/>
  <c r="Q377" i="12"/>
  <c r="R377" i="12"/>
  <c r="Q378" i="12"/>
  <c r="R378" i="12"/>
  <c r="Q379" i="12"/>
  <c r="R379" i="12"/>
  <c r="G404" i="3"/>
  <c r="E345" i="12" l="1"/>
  <c r="E344" i="12"/>
  <c r="E343" i="12"/>
  <c r="E342" i="12"/>
  <c r="E341" i="12"/>
  <c r="E340" i="12"/>
  <c r="E313" i="12"/>
  <c r="Q1090" i="12"/>
  <c r="R1090" i="12"/>
  <c r="Q1091" i="12"/>
  <c r="R1091" i="12"/>
  <c r="Q1092" i="12"/>
  <c r="R1092" i="12"/>
  <c r="Q1093" i="12"/>
  <c r="R1093" i="12"/>
  <c r="Q1094" i="12"/>
  <c r="R1094" i="12"/>
  <c r="Q1095" i="12"/>
  <c r="R1095" i="12"/>
  <c r="F380" i="3"/>
  <c r="G380" i="3" s="1"/>
  <c r="G363" i="3" l="1"/>
  <c r="G364" i="3"/>
  <c r="G365" i="3"/>
  <c r="G373" i="3"/>
  <c r="G375" i="3"/>
  <c r="G366" i="3"/>
  <c r="G383" i="3" l="1"/>
  <c r="F385" i="3"/>
  <c r="G385" i="3" s="1"/>
  <c r="G382" i="3"/>
  <c r="G381" i="3"/>
  <c r="F372" i="3"/>
  <c r="G372" i="3" s="1"/>
  <c r="G371" i="3"/>
  <c r="G370" i="3"/>
  <c r="G369" i="3"/>
  <c r="G368" i="3"/>
  <c r="G367" i="3"/>
  <c r="G379" i="3"/>
  <c r="G378" i="3"/>
  <c r="G356" i="3"/>
  <c r="G355" i="3"/>
  <c r="G360" i="3"/>
  <c r="G359" i="3"/>
  <c r="G358" i="3"/>
  <c r="G361" i="3"/>
  <c r="G350" i="3"/>
  <c r="G351" i="3"/>
  <c r="G349" i="3"/>
  <c r="G352" i="3"/>
  <c r="G347" i="3"/>
  <c r="G346" i="3"/>
  <c r="G345" i="3"/>
  <c r="G335" i="3"/>
  <c r="G334" i="3"/>
  <c r="G336" i="3"/>
  <c r="G337" i="3"/>
  <c r="G332" i="3"/>
  <c r="F342" i="3"/>
  <c r="G342" i="3" s="1"/>
  <c r="G341" i="3"/>
  <c r="G331" i="3"/>
  <c r="G333" i="3"/>
  <c r="G330" i="3"/>
  <c r="G327" i="3"/>
  <c r="G326" i="3"/>
  <c r="G325" i="3"/>
  <c r="G324" i="3"/>
  <c r="F323" i="3"/>
  <c r="G323" i="3" s="1"/>
  <c r="G322" i="3"/>
  <c r="G328" i="3"/>
  <c r="G318" i="3"/>
  <c r="G319" i="3"/>
  <c r="G316" i="3"/>
  <c r="G314" i="3"/>
  <c r="G313" i="3"/>
  <c r="G312" i="3"/>
  <c r="G320" i="3"/>
  <c r="G317" i="3"/>
  <c r="G309" i="3"/>
  <c r="G308" i="3"/>
  <c r="G311" i="3"/>
  <c r="G310" i="3"/>
  <c r="G304" i="3"/>
  <c r="G306" i="3"/>
  <c r="G307" i="3"/>
  <c r="G305" i="3"/>
  <c r="G297" i="3"/>
  <c r="F296" i="3"/>
  <c r="G296" i="3" s="1"/>
  <c r="G295" i="3"/>
  <c r="G301" i="3"/>
  <c r="G300" i="3"/>
  <c r="G299" i="3"/>
  <c r="G298" i="3"/>
  <c r="G302" i="3"/>
  <c r="G292" i="3"/>
  <c r="G290" i="3"/>
  <c r="G289" i="3"/>
  <c r="G288" i="3"/>
  <c r="G291" i="3"/>
  <c r="G286" i="3"/>
  <c r="G285" i="3"/>
  <c r="G281" i="3"/>
  <c r="F282" i="3"/>
  <c r="G282" i="3" s="1"/>
  <c r="F284" i="3"/>
  <c r="G284" i="3" s="1"/>
  <c r="G278" i="3"/>
  <c r="G277" i="3"/>
  <c r="G276" i="3"/>
  <c r="F271" i="3"/>
  <c r="G271" i="3" s="1"/>
  <c r="F269" i="3"/>
  <c r="G269" i="3" s="1"/>
  <c r="G268" i="3"/>
  <c r="G275" i="3"/>
  <c r="G267" i="3"/>
  <c r="G270" i="3"/>
  <c r="G266" i="3"/>
  <c r="G263" i="3"/>
  <c r="F262" i="3"/>
  <c r="G262" i="3" s="1"/>
  <c r="F265" i="3"/>
  <c r="G265" i="3" s="1"/>
  <c r="F252" i="3"/>
  <c r="G252" i="3" s="1"/>
  <c r="F259" i="3"/>
  <c r="G259" i="3" s="1"/>
  <c r="F258" i="3"/>
  <c r="G258" i="3" s="1"/>
  <c r="F251" i="3"/>
  <c r="G251" i="3" s="1"/>
  <c r="G253" i="3"/>
  <c r="G260" i="3"/>
  <c r="F256" i="3"/>
  <c r="G256" i="3" s="1"/>
  <c r="G255" i="3"/>
  <c r="F250" i="3"/>
  <c r="G250" i="3" s="1"/>
  <c r="F247" i="3"/>
  <c r="G247" i="3" s="1"/>
  <c r="G244" i="3"/>
  <c r="G245" i="3"/>
  <c r="F246" i="3"/>
  <c r="G246" i="3" s="1"/>
  <c r="G243" i="3"/>
  <c r="G239" i="3"/>
  <c r="F241" i="3"/>
  <c r="G241" i="3" s="1"/>
  <c r="F242" i="3"/>
  <c r="G242" i="3" s="1"/>
  <c r="G240" i="3"/>
  <c r="F238" i="3"/>
  <c r="G238" i="3" s="1"/>
  <c r="F237" i="3"/>
  <c r="G237" i="3" s="1"/>
  <c r="F235" i="3"/>
  <c r="G235" i="3" s="1"/>
  <c r="G234" i="3"/>
  <c r="G233" i="3"/>
  <c r="F231" i="3"/>
  <c r="G231" i="3" s="1"/>
  <c r="G230" i="3"/>
  <c r="G229" i="3"/>
  <c r="F228" i="3"/>
  <c r="G228" i="3" s="1"/>
  <c r="F224" i="3"/>
  <c r="G224" i="3" s="1"/>
  <c r="F226" i="3"/>
  <c r="G226" i="3" s="1"/>
  <c r="F222" i="3"/>
  <c r="G222" i="3" s="1"/>
  <c r="F221" i="3"/>
  <c r="G221" i="3" s="1"/>
  <c r="F219" i="3"/>
  <c r="G219" i="3" s="1"/>
  <c r="G213" i="3"/>
  <c r="F215" i="3"/>
  <c r="G215" i="3" s="1"/>
  <c r="F214" i="3"/>
  <c r="G214" i="3" s="1"/>
  <c r="G208" i="3"/>
  <c r="G212" i="3"/>
  <c r="G211" i="3"/>
  <c r="G210" i="3"/>
  <c r="G209" i="3"/>
  <c r="G207" i="3"/>
  <c r="F206" i="3"/>
  <c r="G206" i="3" s="1"/>
  <c r="F205" i="3"/>
  <c r="G205" i="3" s="1"/>
  <c r="F204" i="3"/>
  <c r="G204" i="3" s="1"/>
  <c r="G198" i="3"/>
  <c r="G199" i="3"/>
  <c r="G200" i="3"/>
  <c r="G202" i="3"/>
  <c r="G201" i="3"/>
  <c r="F196" i="3"/>
  <c r="G196" i="3" s="1"/>
  <c r="F193" i="3"/>
  <c r="G193" i="3" s="1"/>
  <c r="G195" i="3"/>
  <c r="F190" i="3"/>
  <c r="G190" i="3" s="1"/>
  <c r="G189" i="3"/>
  <c r="F187" i="3"/>
  <c r="G187" i="3" s="1"/>
  <c r="G184" i="3"/>
  <c r="G186" i="3"/>
  <c r="F185" i="3"/>
  <c r="G185" i="3" s="1"/>
  <c r="F182" i="3"/>
  <c r="G182" i="3" s="1"/>
  <c r="F181" i="3"/>
  <c r="G181" i="3" s="1"/>
  <c r="F177" i="3"/>
  <c r="G177" i="3" s="1"/>
  <c r="G178" i="3"/>
  <c r="F180" i="3"/>
  <c r="G180" i="3" s="1"/>
  <c r="F179" i="3"/>
  <c r="G179" i="3" s="1"/>
  <c r="F174" i="3"/>
  <c r="G174" i="3" s="1"/>
  <c r="F172" i="3"/>
  <c r="G172" i="3" s="1"/>
  <c r="F173" i="3"/>
  <c r="G173" i="3" s="1"/>
  <c r="F171" i="3"/>
  <c r="G171" i="3" s="1"/>
  <c r="G164" i="3"/>
  <c r="F165" i="3"/>
  <c r="G165" i="3" s="1"/>
  <c r="F166" i="3"/>
  <c r="G166" i="3" s="1"/>
  <c r="F168" i="3"/>
  <c r="G168" i="3" s="1"/>
  <c r="F167" i="3"/>
  <c r="G167" i="3" s="1"/>
  <c r="F169" i="3"/>
  <c r="G169" i="3" s="1"/>
  <c r="F163" i="3"/>
  <c r="G163" i="3" s="1"/>
  <c r="F157" i="3"/>
  <c r="G157" i="3" s="1"/>
  <c r="F156" i="3"/>
  <c r="G156" i="3" s="1"/>
  <c r="F158" i="3"/>
  <c r="G158" i="3" s="1"/>
  <c r="F159" i="3"/>
  <c r="G159" i="3" s="1"/>
  <c r="F160" i="3"/>
  <c r="G160" i="3" s="1"/>
  <c r="F161" i="3"/>
  <c r="G161" i="3" s="1"/>
  <c r="F150" i="3"/>
  <c r="G150" i="3" s="1"/>
  <c r="F149" i="3"/>
  <c r="G149" i="3" s="1"/>
  <c r="G147" i="3"/>
  <c r="F145" i="3"/>
  <c r="G145" i="3" s="1"/>
  <c r="G143" i="3"/>
  <c r="G142" i="3"/>
  <c r="G139" i="3"/>
  <c r="F138" i="3"/>
  <c r="G138" i="3" s="1"/>
  <c r="F134" i="3"/>
  <c r="G134" i="3" s="1"/>
  <c r="F131" i="3"/>
  <c r="G131" i="3" s="1"/>
  <c r="F130" i="3"/>
  <c r="G130" i="3" s="1"/>
  <c r="F129" i="3"/>
  <c r="G129" i="3" s="1"/>
  <c r="G126" i="3"/>
  <c r="F127" i="3"/>
  <c r="G127" i="3" s="1"/>
  <c r="F125" i="3"/>
  <c r="G125" i="3" s="1"/>
  <c r="G123" i="3"/>
  <c r="F122" i="3"/>
  <c r="G122" i="3" s="1"/>
  <c r="F120" i="3"/>
  <c r="G120" i="3" s="1"/>
  <c r="F119" i="3"/>
  <c r="G119" i="3" s="1"/>
  <c r="F121" i="3"/>
  <c r="G121" i="3" s="1"/>
  <c r="F118" i="3"/>
  <c r="G118" i="3" s="1"/>
  <c r="F117" i="3"/>
  <c r="G117" i="3" s="1"/>
  <c r="F115" i="3"/>
  <c r="G115" i="3" s="1"/>
  <c r="F111" i="3"/>
  <c r="G111" i="3" s="1"/>
  <c r="F113" i="3"/>
  <c r="G113" i="3" s="1"/>
  <c r="F112" i="3"/>
  <c r="G112" i="3" s="1"/>
  <c r="G114" i="3"/>
  <c r="F109" i="3"/>
  <c r="G109" i="3" s="1"/>
  <c r="G108" i="3"/>
  <c r="F107" i="3"/>
  <c r="G107" i="3" s="1"/>
  <c r="F106" i="3"/>
  <c r="G106" i="3" s="1"/>
  <c r="F102" i="3"/>
  <c r="G102" i="3" s="1"/>
  <c r="G103" i="3"/>
  <c r="G104" i="3"/>
  <c r="F105" i="3"/>
  <c r="G105" i="3" s="1"/>
  <c r="F101" i="3"/>
  <c r="G101" i="3" s="1"/>
  <c r="F100" i="3"/>
  <c r="G100" i="3" s="1"/>
  <c r="F95" i="3"/>
  <c r="G95" i="3" s="1"/>
  <c r="F99" i="3"/>
  <c r="G99" i="3" s="1"/>
  <c r="F98" i="3"/>
  <c r="G98" i="3" s="1"/>
  <c r="F97" i="3"/>
  <c r="G97" i="3" s="1"/>
  <c r="F96" i="3"/>
  <c r="G96" i="3" s="1"/>
  <c r="F88" i="3"/>
  <c r="G88" i="3" s="1"/>
  <c r="F93" i="3"/>
  <c r="G93" i="3" s="1"/>
  <c r="F90" i="3"/>
  <c r="G90" i="3" s="1"/>
  <c r="F89" i="3"/>
  <c r="G89" i="3" s="1"/>
  <c r="F92" i="3"/>
  <c r="G92" i="3" s="1"/>
  <c r="F84" i="3"/>
  <c r="G84" i="3" s="1"/>
  <c r="F87" i="3"/>
  <c r="G87" i="3" s="1"/>
  <c r="F86" i="3"/>
  <c r="G86" i="3" s="1"/>
  <c r="F83" i="3"/>
  <c r="G83" i="3" s="1"/>
  <c r="F82" i="3"/>
  <c r="G82" i="3" s="1"/>
  <c r="F79" i="3"/>
  <c r="F81" i="3"/>
  <c r="G81" i="3" s="1"/>
  <c r="F80" i="3"/>
  <c r="G80" i="3" s="1"/>
  <c r="F78" i="3"/>
  <c r="G78" i="3" s="1"/>
  <c r="F74" i="3"/>
  <c r="G74" i="3" s="1"/>
  <c r="F65" i="3"/>
  <c r="G65" i="3" s="1"/>
  <c r="F66" i="3"/>
  <c r="G66" i="3" s="1"/>
  <c r="F68" i="3"/>
  <c r="G68" i="3" s="1"/>
  <c r="F70" i="3"/>
  <c r="G70" i="3" s="1"/>
  <c r="F67" i="3"/>
  <c r="G67" i="3" s="1"/>
  <c r="F71" i="3"/>
  <c r="G71" i="3" s="1"/>
  <c r="F69" i="3"/>
  <c r="G69" i="3" s="1"/>
  <c r="G62" i="3"/>
  <c r="F58" i="3"/>
  <c r="G58" i="3" s="1"/>
  <c r="F57" i="3"/>
  <c r="G57" i="3" s="1"/>
  <c r="F56" i="3"/>
  <c r="G56" i="3" s="1"/>
  <c r="F54" i="3"/>
  <c r="G54" i="3" s="1"/>
  <c r="F55" i="3"/>
  <c r="G55" i="3" s="1"/>
  <c r="G52" i="3"/>
  <c r="F51" i="3"/>
  <c r="G51" i="3" s="1"/>
  <c r="F47" i="3"/>
  <c r="F50" i="3"/>
  <c r="G50" i="3" s="1"/>
  <c r="F49" i="3"/>
  <c r="G49" i="3" s="1"/>
  <c r="F48" i="3"/>
  <c r="G48" i="3" s="1"/>
  <c r="F46" i="3"/>
  <c r="G46" i="3" s="1"/>
  <c r="F45" i="3"/>
  <c r="G45" i="3" s="1"/>
  <c r="F43" i="3"/>
  <c r="G43" i="3" s="1"/>
  <c r="F44" i="3"/>
  <c r="G44" i="3" s="1"/>
  <c r="F41" i="3"/>
  <c r="G41" i="3" s="1"/>
  <c r="F40" i="3"/>
  <c r="G40" i="3" s="1"/>
  <c r="F42" i="3"/>
  <c r="G42" i="3" s="1"/>
  <c r="F39" i="3"/>
  <c r="G39" i="3" s="1"/>
  <c r="F38" i="3"/>
  <c r="G38" i="3" s="1"/>
  <c r="F37" i="3"/>
  <c r="F36" i="3"/>
  <c r="G36" i="3" s="1"/>
  <c r="F35" i="3"/>
  <c r="G35" i="3" s="1"/>
  <c r="F32" i="3"/>
  <c r="G32" i="3" s="1"/>
  <c r="G31" i="3"/>
  <c r="F29" i="3"/>
  <c r="G29" i="3" s="1"/>
  <c r="F28" i="3"/>
  <c r="G28" i="3" s="1"/>
  <c r="F24" i="3"/>
  <c r="G24" i="3" s="1"/>
  <c r="F27" i="3"/>
  <c r="G27" i="3" s="1"/>
  <c r="F23" i="3"/>
  <c r="G23" i="3" s="1"/>
  <c r="G26" i="3"/>
  <c r="F25" i="3"/>
  <c r="F14" i="17" s="1"/>
  <c r="F22" i="3"/>
  <c r="G22" i="3" s="1"/>
  <c r="F21" i="3"/>
  <c r="G21" i="3" s="1"/>
  <c r="F18" i="3"/>
  <c r="G18" i="3" s="1"/>
  <c r="F16" i="3"/>
  <c r="G16" i="3" s="1"/>
  <c r="F13" i="3"/>
  <c r="G13" i="3" s="1"/>
  <c r="F12" i="3"/>
  <c r="G12" i="3" s="1"/>
  <c r="Q723" i="12"/>
  <c r="R723" i="12"/>
  <c r="G15" i="3" l="1"/>
  <c r="I15" i="17"/>
  <c r="I18" i="17" s="1"/>
  <c r="O15" i="3"/>
  <c r="F17" i="17"/>
  <c r="F16" i="17"/>
  <c r="F13" i="17"/>
  <c r="G25" i="3"/>
  <c r="G47" i="3"/>
  <c r="E14" i="14" s="1"/>
  <c r="G79" i="3"/>
  <c r="E10" i="14" s="1"/>
  <c r="G37" i="3"/>
  <c r="E15" i="14" s="1"/>
  <c r="E11" i="14"/>
  <c r="E13" i="14"/>
  <c r="Q1096" i="12"/>
  <c r="R1096" i="12"/>
  <c r="Q79" i="12"/>
  <c r="R79" i="12"/>
  <c r="Q80" i="12"/>
  <c r="R80" i="12"/>
  <c r="Q81" i="12"/>
  <c r="R81" i="12"/>
  <c r="Q82" i="12"/>
  <c r="R82" i="12"/>
  <c r="Q83" i="12"/>
  <c r="R83" i="12"/>
  <c r="Q84" i="12"/>
  <c r="R84" i="12"/>
  <c r="Q721" i="12"/>
  <c r="R721" i="12"/>
  <c r="Q785" i="12"/>
  <c r="R785" i="12"/>
  <c r="R15" i="3" l="1"/>
  <c r="Q15" i="3"/>
  <c r="F11" i="3"/>
  <c r="F15" i="17" s="1"/>
  <c r="F18" i="17" s="1"/>
  <c r="R1087" i="12"/>
  <c r="Q713" i="12"/>
  <c r="R713" i="12"/>
  <c r="Q714" i="12"/>
  <c r="R714" i="12"/>
  <c r="Q715" i="12"/>
  <c r="R715" i="12"/>
  <c r="Q716" i="12"/>
  <c r="R716" i="12"/>
  <c r="Q717" i="12"/>
  <c r="R717" i="12"/>
  <c r="Q718" i="12"/>
  <c r="R718" i="12"/>
  <c r="Q719" i="12"/>
  <c r="R719" i="12"/>
  <c r="Q720" i="12"/>
  <c r="R720" i="12"/>
  <c r="E549" i="12"/>
  <c r="E548" i="12"/>
  <c r="E547" i="12"/>
  <c r="E545" i="12"/>
  <c r="E544" i="12"/>
  <c r="E543" i="12"/>
  <c r="E542" i="12"/>
  <c r="E541" i="12"/>
  <c r="E540" i="12"/>
  <c r="E539" i="12"/>
  <c r="E538" i="12"/>
  <c r="E537" i="12"/>
  <c r="R1028" i="12"/>
  <c r="E982" i="12"/>
  <c r="E990" i="12"/>
  <c r="E991" i="12"/>
  <c r="E992" i="12"/>
  <c r="E993" i="12"/>
  <c r="E994" i="12"/>
  <c r="E981" i="12"/>
  <c r="R551" i="12"/>
  <c r="E528" i="12"/>
  <c r="E527" i="12"/>
  <c r="R503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R69" i="12"/>
  <c r="Q993" i="12"/>
  <c r="R993" i="12"/>
  <c r="Q990" i="12"/>
  <c r="R990" i="12"/>
  <c r="Q991" i="12"/>
  <c r="R991" i="12"/>
  <c r="Q992" i="12"/>
  <c r="R992" i="12"/>
  <c r="Q994" i="12"/>
  <c r="R994" i="12"/>
  <c r="Q981" i="12"/>
  <c r="R981" i="12"/>
  <c r="Q982" i="12"/>
  <c r="R982" i="12"/>
  <c r="Q712" i="12"/>
  <c r="R712" i="12"/>
  <c r="Q708" i="12"/>
  <c r="R708" i="12"/>
  <c r="Q709" i="12"/>
  <c r="R709" i="12"/>
  <c r="Q710" i="12"/>
  <c r="R710" i="12"/>
  <c r="Q711" i="12"/>
  <c r="R711" i="12"/>
  <c r="Q348" i="12"/>
  <c r="R348" i="12"/>
  <c r="Q349" i="12"/>
  <c r="R349" i="12"/>
  <c r="Q350" i="12"/>
  <c r="R350" i="12"/>
  <c r="Q351" i="12"/>
  <c r="R351" i="12"/>
  <c r="Q352" i="12"/>
  <c r="R352" i="12"/>
  <c r="Q360" i="12"/>
  <c r="R360" i="12"/>
  <c r="Q361" i="12"/>
  <c r="R361" i="12"/>
  <c r="Q362" i="12"/>
  <c r="R362" i="12"/>
  <c r="Q363" i="12"/>
  <c r="R363" i="12"/>
  <c r="Q364" i="12"/>
  <c r="R364" i="12"/>
  <c r="Q365" i="12"/>
  <c r="R365" i="12"/>
  <c r="Q366" i="12"/>
  <c r="R366" i="12"/>
  <c r="Q367" i="12"/>
  <c r="R367" i="12"/>
  <c r="Q368" i="12"/>
  <c r="R368" i="12"/>
  <c r="Q369" i="12"/>
  <c r="R369" i="12"/>
  <c r="Q370" i="12"/>
  <c r="R370" i="12"/>
  <c r="Q371" i="12"/>
  <c r="R371" i="12"/>
  <c r="Q372" i="12"/>
  <c r="R372" i="12"/>
  <c r="Q373" i="12"/>
  <c r="R373" i="12"/>
  <c r="Q374" i="12"/>
  <c r="R374" i="12"/>
  <c r="Q375" i="12"/>
  <c r="R375" i="12"/>
  <c r="Q376" i="12"/>
  <c r="R376" i="12"/>
  <c r="Q78" i="12"/>
  <c r="R78" i="12"/>
  <c r="G11" i="3" l="1"/>
  <c r="F18" i="15" s="1"/>
  <c r="Q537" i="12"/>
  <c r="R537" i="12"/>
  <c r="Q538" i="12"/>
  <c r="R538" i="12"/>
  <c r="Q539" i="12"/>
  <c r="R539" i="12"/>
  <c r="Q540" i="12"/>
  <c r="R540" i="12"/>
  <c r="Q541" i="12"/>
  <c r="R541" i="12"/>
  <c r="Q542" i="12"/>
  <c r="R542" i="12"/>
  <c r="Q543" i="12"/>
  <c r="R543" i="12"/>
  <c r="Q544" i="12"/>
  <c r="R544" i="12"/>
  <c r="Q545" i="12"/>
  <c r="R545" i="12"/>
  <c r="Q547" i="12"/>
  <c r="R547" i="12"/>
  <c r="Q548" i="12"/>
  <c r="R548" i="12"/>
  <c r="Q549" i="12"/>
  <c r="R549" i="12"/>
  <c r="Q617" i="12"/>
  <c r="R617" i="12"/>
  <c r="Q1088" i="12"/>
  <c r="R1088" i="12"/>
  <c r="Q1089" i="12"/>
  <c r="R1089" i="12"/>
  <c r="Q500" i="12"/>
  <c r="R500" i="12"/>
  <c r="Q501" i="12"/>
  <c r="R501" i="12"/>
  <c r="Q527" i="12"/>
  <c r="R527" i="12"/>
  <c r="Q528" i="12"/>
  <c r="R528" i="12"/>
  <c r="Q499" i="12"/>
  <c r="R499" i="12"/>
  <c r="Q497" i="12"/>
  <c r="R497" i="12"/>
  <c r="Q498" i="12"/>
  <c r="R498" i="12"/>
  <c r="Q496" i="12"/>
  <c r="R496" i="12"/>
  <c r="Q495" i="12"/>
  <c r="R495" i="12"/>
  <c r="Q492" i="12"/>
  <c r="R492" i="12"/>
  <c r="Q493" i="12"/>
  <c r="R493" i="12"/>
  <c r="Q494" i="12"/>
  <c r="R494" i="12"/>
  <c r="Q473" i="12"/>
  <c r="R473" i="12"/>
  <c r="Q474" i="12"/>
  <c r="R474" i="12"/>
  <c r="Q475" i="12"/>
  <c r="R475" i="12"/>
  <c r="Q476" i="12"/>
  <c r="R476" i="12"/>
  <c r="Q477" i="12"/>
  <c r="R477" i="12"/>
  <c r="Q478" i="12"/>
  <c r="R478" i="12"/>
  <c r="Q479" i="12"/>
  <c r="R479" i="12"/>
  <c r="Q480" i="12"/>
  <c r="R480" i="12"/>
  <c r="Q481" i="12"/>
  <c r="R481" i="12"/>
  <c r="Q482" i="12"/>
  <c r="R482" i="12"/>
  <c r="Q483" i="12"/>
  <c r="R483" i="12"/>
  <c r="Q484" i="12"/>
  <c r="R484" i="12"/>
  <c r="Q485" i="12"/>
  <c r="R485" i="12"/>
  <c r="Q486" i="12"/>
  <c r="R486" i="12"/>
  <c r="Q487" i="12"/>
  <c r="R487" i="12"/>
  <c r="Q488" i="12"/>
  <c r="R488" i="12"/>
  <c r="Q489" i="12"/>
  <c r="R489" i="12"/>
  <c r="Q490" i="12"/>
  <c r="R490" i="12"/>
  <c r="Q491" i="12"/>
  <c r="R491" i="12"/>
  <c r="E59" i="12"/>
  <c r="E60" i="12"/>
  <c r="E61" i="12"/>
  <c r="E62" i="12"/>
  <c r="E63" i="12"/>
  <c r="E64" i="12"/>
  <c r="E65" i="12"/>
  <c r="E66" i="12"/>
  <c r="E67" i="12"/>
  <c r="E68" i="12"/>
  <c r="E172" i="12"/>
  <c r="E171" i="12"/>
  <c r="E170" i="12"/>
  <c r="E169" i="12"/>
  <c r="E165" i="12"/>
  <c r="E164" i="12"/>
  <c r="E472" i="12"/>
  <c r="E471" i="12"/>
  <c r="E163" i="12"/>
  <c r="Q171" i="12"/>
  <c r="R171" i="12"/>
  <c r="Q172" i="12"/>
  <c r="R172" i="12"/>
  <c r="Q167" i="12"/>
  <c r="R167" i="12"/>
  <c r="Q168" i="12"/>
  <c r="R168" i="12"/>
  <c r="Q169" i="12"/>
  <c r="R169" i="12"/>
  <c r="Q170" i="12"/>
  <c r="R170" i="12"/>
  <c r="Q163" i="12"/>
  <c r="R163" i="12"/>
  <c r="Q471" i="12"/>
  <c r="R471" i="12"/>
  <c r="Q472" i="12"/>
  <c r="R472" i="12"/>
  <c r="Q164" i="12"/>
  <c r="R164" i="12"/>
  <c r="Q165" i="12"/>
  <c r="R165" i="12"/>
  <c r="Q166" i="12"/>
  <c r="R166" i="12"/>
  <c r="Q353" i="12"/>
  <c r="R353" i="12"/>
  <c r="Q354" i="12"/>
  <c r="R354" i="12"/>
  <c r="Q355" i="12"/>
  <c r="R355" i="12"/>
  <c r="Q356" i="12"/>
  <c r="R356" i="12"/>
  <c r="Q357" i="12"/>
  <c r="R357" i="12"/>
  <c r="Q358" i="12"/>
  <c r="R358" i="12"/>
  <c r="Q359" i="12"/>
  <c r="R359" i="12"/>
  <c r="Q697" i="12"/>
  <c r="R697" i="12"/>
  <c r="Q698" i="12"/>
  <c r="R698" i="12"/>
  <c r="Q699" i="12"/>
  <c r="R699" i="12"/>
  <c r="Q700" i="12"/>
  <c r="R700" i="12"/>
  <c r="Q701" i="12"/>
  <c r="R701" i="12"/>
  <c r="Q702" i="12"/>
  <c r="R702" i="12"/>
  <c r="Q703" i="12"/>
  <c r="R703" i="12"/>
  <c r="Q704" i="12"/>
  <c r="R704" i="12"/>
  <c r="Q705" i="12"/>
  <c r="R705" i="12"/>
  <c r="Q706" i="12"/>
  <c r="R706" i="12"/>
  <c r="Q707" i="12"/>
  <c r="R707" i="12"/>
  <c r="Q184" i="12"/>
  <c r="R184" i="12"/>
  <c r="Q185" i="12"/>
  <c r="R185" i="12"/>
  <c r="Q186" i="12"/>
  <c r="R186" i="12"/>
  <c r="Q187" i="12"/>
  <c r="R187" i="12"/>
  <c r="Q188" i="12"/>
  <c r="R188" i="12"/>
  <c r="Q189" i="12"/>
  <c r="R189" i="12"/>
  <c r="Q1087" i="12"/>
  <c r="Q1086" i="12"/>
  <c r="R1086" i="12"/>
  <c r="Q1085" i="12"/>
  <c r="R1085" i="12"/>
  <c r="Q1084" i="12"/>
  <c r="R1084" i="12"/>
  <c r="Q1083" i="12"/>
  <c r="R1083" i="12"/>
  <c r="Q691" i="12"/>
  <c r="R691" i="12"/>
  <c r="Q692" i="12"/>
  <c r="R692" i="12"/>
  <c r="Q693" i="12"/>
  <c r="R693" i="12"/>
  <c r="Q694" i="12"/>
  <c r="R694" i="12"/>
  <c r="Q696" i="12"/>
  <c r="R696" i="12"/>
  <c r="Q690" i="12"/>
  <c r="R690" i="12"/>
  <c r="Q346" i="12"/>
  <c r="R346" i="12"/>
  <c r="Q347" i="12"/>
  <c r="R347" i="12"/>
  <c r="Q686" i="12"/>
  <c r="R686" i="12"/>
  <c r="Q687" i="12"/>
  <c r="R687" i="12"/>
  <c r="Q688" i="12"/>
  <c r="R688" i="12"/>
  <c r="Q689" i="12"/>
  <c r="R689" i="12"/>
  <c r="Q344" i="12"/>
  <c r="R344" i="12"/>
  <c r="Q340" i="12"/>
  <c r="R340" i="12"/>
  <c r="Q341" i="12"/>
  <c r="R341" i="12"/>
  <c r="Q342" i="12"/>
  <c r="R342" i="12"/>
  <c r="Q343" i="12"/>
  <c r="R343" i="12"/>
  <c r="Q337" i="12"/>
  <c r="R337" i="12"/>
  <c r="Q338" i="12"/>
  <c r="R338" i="12"/>
  <c r="Q339" i="12"/>
  <c r="R339" i="12"/>
  <c r="Q336" i="12"/>
  <c r="R336" i="12"/>
  <c r="Q345" i="12"/>
  <c r="R345" i="12"/>
  <c r="Q77" i="12"/>
  <c r="R77" i="12"/>
  <c r="E58" i="12"/>
  <c r="E535" i="12"/>
  <c r="E534" i="12"/>
  <c r="E533" i="12"/>
  <c r="E532" i="12"/>
  <c r="E531" i="12"/>
  <c r="E45" i="12"/>
  <c r="E530" i="12"/>
  <c r="E529" i="12"/>
  <c r="E35" i="12"/>
  <c r="E526" i="12"/>
  <c r="E525" i="12"/>
  <c r="E524" i="12"/>
  <c r="E579" i="12"/>
  <c r="E562" i="12"/>
  <c r="E670" i="12"/>
  <c r="E644" i="12"/>
  <c r="E643" i="12"/>
  <c r="E628" i="12"/>
  <c r="E600" i="12"/>
  <c r="E565" i="12"/>
  <c r="E553" i="12"/>
  <c r="E552" i="12"/>
  <c r="E551" i="12"/>
  <c r="I21" i="15" l="1"/>
  <c r="M21" i="15" s="1"/>
  <c r="E12" i="14"/>
  <c r="E16" i="14" s="1"/>
  <c r="H13" i="14"/>
  <c r="K13" i="14" s="1"/>
  <c r="H12" i="14"/>
  <c r="K12" i="14" s="1"/>
  <c r="H10" i="14"/>
  <c r="K10" i="14" s="1"/>
  <c r="I11" i="15"/>
  <c r="M11" i="15" s="1"/>
  <c r="I17" i="15"/>
  <c r="M17" i="15" s="1"/>
  <c r="I18" i="15"/>
  <c r="M18" i="15" s="1"/>
  <c r="H14" i="14"/>
  <c r="K14" i="14" s="1"/>
  <c r="I22" i="15"/>
  <c r="M22" i="15" s="1"/>
  <c r="I15" i="15"/>
  <c r="M15" i="15" s="1"/>
  <c r="H15" i="14"/>
  <c r="K15" i="14" s="1"/>
  <c r="H11" i="14"/>
  <c r="K11" i="14" s="1"/>
  <c r="I19" i="15"/>
  <c r="M19" i="15" s="1"/>
  <c r="I14" i="15"/>
  <c r="M14" i="15" s="1"/>
  <c r="I12" i="15"/>
  <c r="M12" i="15" s="1"/>
  <c r="F20" i="15"/>
  <c r="F12" i="15"/>
  <c r="F17" i="15"/>
  <c r="F21" i="15"/>
  <c r="I20" i="15"/>
  <c r="M20" i="15" s="1"/>
  <c r="I16" i="15"/>
  <c r="M16" i="15" s="1"/>
  <c r="F13" i="15"/>
  <c r="F15" i="15"/>
  <c r="F22" i="15"/>
  <c r="F11" i="15"/>
  <c r="F14" i="15"/>
  <c r="I13" i="15"/>
  <c r="M13" i="15" s="1"/>
  <c r="F16" i="15"/>
  <c r="F19" i="15"/>
  <c r="Q682" i="12"/>
  <c r="R682" i="12"/>
  <c r="Q683" i="12"/>
  <c r="R683" i="12"/>
  <c r="Q684" i="12"/>
  <c r="R684" i="12"/>
  <c r="Q332" i="12"/>
  <c r="R332" i="12"/>
  <c r="Q333" i="12"/>
  <c r="R333" i="12"/>
  <c r="Q334" i="12"/>
  <c r="R334" i="12"/>
  <c r="Q335" i="12"/>
  <c r="R335" i="12"/>
  <c r="Q76" i="12"/>
  <c r="R76" i="12"/>
  <c r="Q71" i="12"/>
  <c r="R71" i="12"/>
  <c r="Q74" i="12"/>
  <c r="R74" i="12"/>
  <c r="Q75" i="12"/>
  <c r="R75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Q321" i="12"/>
  <c r="R321" i="12"/>
  <c r="Q322" i="12"/>
  <c r="R322" i="12"/>
  <c r="Q323" i="12"/>
  <c r="R323" i="12"/>
  <c r="Q324" i="12"/>
  <c r="R324" i="12"/>
  <c r="Q325" i="12"/>
  <c r="R325" i="12"/>
  <c r="Q326" i="12"/>
  <c r="R326" i="12"/>
  <c r="Q327" i="12"/>
  <c r="R327" i="12"/>
  <c r="Q328" i="12"/>
  <c r="R328" i="12"/>
  <c r="Q329" i="12"/>
  <c r="R329" i="12"/>
  <c r="Q330" i="12"/>
  <c r="R330" i="12"/>
  <c r="Q331" i="12"/>
  <c r="R331" i="12"/>
  <c r="K16" i="14" l="1"/>
  <c r="H16" i="14"/>
  <c r="F23" i="15"/>
  <c r="M23" i="15"/>
  <c r="I23" i="15"/>
  <c r="Q295" i="12"/>
  <c r="R295" i="12"/>
  <c r="Q296" i="12"/>
  <c r="R296" i="12"/>
  <c r="Q297" i="12"/>
  <c r="R297" i="12"/>
  <c r="Q298" i="12"/>
  <c r="R298" i="12"/>
  <c r="Q299" i="12"/>
  <c r="R299" i="12"/>
  <c r="Q300" i="12"/>
  <c r="R300" i="12"/>
  <c r="Q301" i="12"/>
  <c r="R301" i="12"/>
  <c r="Q302" i="12"/>
  <c r="R302" i="12"/>
  <c r="Q303" i="12"/>
  <c r="R303" i="12"/>
  <c r="Q304" i="12"/>
  <c r="R304" i="12"/>
  <c r="Q305" i="12"/>
  <c r="R305" i="12"/>
  <c r="Q306" i="12"/>
  <c r="R306" i="12"/>
  <c r="Q307" i="12"/>
  <c r="R307" i="12"/>
  <c r="Q308" i="12"/>
  <c r="R308" i="12"/>
  <c r="Q309" i="12"/>
  <c r="R309" i="12"/>
  <c r="Q310" i="12"/>
  <c r="R310" i="12"/>
  <c r="Q311" i="12"/>
  <c r="R311" i="12"/>
  <c r="Q312" i="12"/>
  <c r="R312" i="12"/>
  <c r="Q313" i="12"/>
  <c r="R313" i="12"/>
  <c r="Q314" i="12"/>
  <c r="R314" i="12"/>
  <c r="Q315" i="12"/>
  <c r="R315" i="12"/>
  <c r="Q316" i="12"/>
  <c r="R316" i="12"/>
  <c r="Q317" i="12"/>
  <c r="R317" i="12"/>
  <c r="Q318" i="12"/>
  <c r="R318" i="12"/>
  <c r="Q319" i="12"/>
  <c r="R319" i="12"/>
  <c r="Q320" i="12"/>
  <c r="R320" i="12"/>
  <c r="Q667" i="12"/>
  <c r="R667" i="12"/>
  <c r="Q668" i="12"/>
  <c r="R668" i="12"/>
  <c r="Q669" i="12"/>
  <c r="R669" i="12"/>
  <c r="Q671" i="12"/>
  <c r="R671" i="12"/>
  <c r="Q670" i="12"/>
  <c r="R670" i="12"/>
  <c r="Q672" i="12"/>
  <c r="R672" i="12"/>
  <c r="Q673" i="12"/>
  <c r="R673" i="12"/>
  <c r="Q674" i="12"/>
  <c r="R674" i="12"/>
  <c r="Q675" i="12"/>
  <c r="R675" i="12"/>
  <c r="Q676" i="12"/>
  <c r="R676" i="12"/>
  <c r="Q677" i="12"/>
  <c r="R677" i="12"/>
  <c r="Q678" i="12"/>
  <c r="R678" i="12"/>
  <c r="Q679" i="12"/>
  <c r="R679" i="12"/>
  <c r="Q680" i="12"/>
  <c r="R680" i="12"/>
  <c r="Q681" i="12"/>
  <c r="R681" i="12"/>
  <c r="Q1082" i="12"/>
  <c r="R1082" i="12"/>
  <c r="Q1081" i="12"/>
  <c r="R1081" i="12"/>
  <c r="Q1080" i="12"/>
  <c r="R1080" i="12"/>
  <c r="Q1079" i="12"/>
  <c r="R1079" i="12"/>
  <c r="Q1078" i="12"/>
  <c r="R1078" i="12"/>
  <c r="Q1077" i="12"/>
  <c r="R1077" i="12"/>
  <c r="Q1076" i="12"/>
  <c r="R1076" i="12"/>
  <c r="Q1075" i="12"/>
  <c r="R1075" i="12"/>
  <c r="Q1074" i="12"/>
  <c r="R1074" i="12"/>
  <c r="E1072" i="12"/>
  <c r="E1071" i="12"/>
  <c r="E1070" i="12"/>
  <c r="E1069" i="12"/>
  <c r="E1044" i="12"/>
  <c r="R1073" i="12"/>
  <c r="Q1073" i="12"/>
  <c r="R1072" i="12"/>
  <c r="Q1072" i="12"/>
  <c r="R1071" i="12"/>
  <c r="Q1071" i="12"/>
  <c r="R1070" i="12"/>
  <c r="Q1070" i="12"/>
  <c r="R1069" i="12"/>
  <c r="Q1069" i="12"/>
  <c r="R1068" i="12"/>
  <c r="Q1068" i="12"/>
  <c r="R1067" i="12"/>
  <c r="Q1067" i="12"/>
  <c r="R1066" i="12"/>
  <c r="Q1066" i="12"/>
  <c r="R1065" i="12"/>
  <c r="Q1065" i="12"/>
  <c r="R1064" i="12"/>
  <c r="Q1064" i="12"/>
  <c r="R1063" i="12"/>
  <c r="Q1063" i="12"/>
  <c r="R1062" i="12"/>
  <c r="Q1062" i="12"/>
  <c r="R1059" i="12"/>
  <c r="Q1059" i="12"/>
  <c r="R1053" i="12"/>
  <c r="Q1053" i="12"/>
  <c r="R1050" i="12"/>
  <c r="Q1050" i="12"/>
  <c r="R1049" i="12"/>
  <c r="Q1049" i="12"/>
  <c r="R1048" i="12"/>
  <c r="Q1048" i="12"/>
  <c r="R1047" i="12"/>
  <c r="Q1047" i="12"/>
  <c r="R1046" i="12"/>
  <c r="Q1046" i="12"/>
  <c r="R1045" i="12"/>
  <c r="Q1045" i="12"/>
  <c r="R1044" i="12"/>
  <c r="Q1044" i="12"/>
  <c r="R1043" i="12"/>
  <c r="Q1043" i="12"/>
  <c r="E1043" i="12"/>
  <c r="R1042" i="12"/>
  <c r="Q1042" i="12"/>
  <c r="R1030" i="12"/>
  <c r="Q1030" i="12"/>
  <c r="E1030" i="12"/>
  <c r="R1041" i="12"/>
  <c r="Q1041" i="12"/>
  <c r="R1040" i="12"/>
  <c r="Q1040" i="12"/>
  <c r="R1039" i="12"/>
  <c r="Q1039" i="12"/>
  <c r="R1038" i="12"/>
  <c r="Q1038" i="12"/>
  <c r="R1037" i="12"/>
  <c r="Q1037" i="12"/>
  <c r="R1036" i="12"/>
  <c r="Q1036" i="12"/>
  <c r="R1035" i="12"/>
  <c r="Q1035" i="12"/>
  <c r="R1034" i="12"/>
  <c r="Q1034" i="12"/>
  <c r="R1033" i="12"/>
  <c r="Q1033" i="12"/>
  <c r="R1032" i="12"/>
  <c r="Q1032" i="12"/>
  <c r="R1031" i="12"/>
  <c r="Q1031" i="12"/>
  <c r="R1029" i="12"/>
  <c r="Q1029" i="12"/>
  <c r="R1027" i="12"/>
  <c r="Q1027" i="12"/>
  <c r="R1026" i="12"/>
  <c r="Q1026" i="12"/>
  <c r="R1012" i="12"/>
  <c r="Q1012" i="12"/>
  <c r="R1011" i="12"/>
  <c r="Q1011" i="12"/>
  <c r="R1010" i="12"/>
  <c r="Q1010" i="12"/>
  <c r="R1014" i="12"/>
  <c r="Q1014" i="12"/>
  <c r="E1014" i="12"/>
  <c r="R1013" i="12"/>
  <c r="Q1013" i="12"/>
  <c r="E1013" i="12"/>
  <c r="R1009" i="12"/>
  <c r="Q1009" i="12"/>
  <c r="E1009" i="12"/>
  <c r="R1008" i="12"/>
  <c r="Q1008" i="12"/>
  <c r="E1008" i="12"/>
  <c r="R1007" i="12"/>
  <c r="Q1007" i="12"/>
  <c r="R1006" i="12"/>
  <c r="Q1006" i="12"/>
  <c r="R1005" i="12"/>
  <c r="Q1005" i="12"/>
  <c r="E1005" i="12"/>
  <c r="R1004" i="12"/>
  <c r="Q1004" i="12"/>
  <c r="R1003" i="12"/>
  <c r="Q1003" i="12"/>
  <c r="E1003" i="12"/>
  <c r="R1002" i="12"/>
  <c r="Q1002" i="12"/>
  <c r="E1002" i="12"/>
  <c r="R1001" i="12"/>
  <c r="Q1001" i="12"/>
  <c r="E1001" i="12"/>
  <c r="R1000" i="12"/>
  <c r="Q1000" i="12"/>
  <c r="E1000" i="12"/>
  <c r="R999" i="12"/>
  <c r="Q999" i="12"/>
  <c r="E999" i="12"/>
  <c r="R998" i="12"/>
  <c r="Q998" i="12"/>
  <c r="E998" i="12"/>
  <c r="R997" i="12"/>
  <c r="Q997" i="12"/>
  <c r="E997" i="12"/>
  <c r="R996" i="12"/>
  <c r="Q996" i="12"/>
  <c r="E996" i="12"/>
  <c r="R995" i="12"/>
  <c r="Q995" i="12"/>
  <c r="E995" i="12"/>
  <c r="R989" i="12"/>
  <c r="Q989" i="12"/>
  <c r="E989" i="12"/>
  <c r="R988" i="12"/>
  <c r="Q988" i="12"/>
  <c r="E988" i="12"/>
  <c r="R984" i="12"/>
  <c r="Q984" i="12"/>
  <c r="R987" i="12"/>
  <c r="Q987" i="12"/>
  <c r="E987" i="12"/>
  <c r="R986" i="12"/>
  <c r="Q986" i="12"/>
  <c r="E986" i="12"/>
  <c r="R985" i="12"/>
  <c r="E985" i="12"/>
  <c r="R983" i="12"/>
  <c r="Q983" i="12"/>
  <c r="R666" i="12"/>
  <c r="Q666" i="12"/>
  <c r="R665" i="12"/>
  <c r="Q665" i="12"/>
  <c r="R664" i="12"/>
  <c r="Q664" i="12"/>
  <c r="R663" i="12"/>
  <c r="Q663" i="12"/>
  <c r="R662" i="12"/>
  <c r="Q662" i="12"/>
  <c r="R661" i="12"/>
  <c r="Q661" i="12"/>
  <c r="R660" i="12"/>
  <c r="Q660" i="12"/>
  <c r="R659" i="12"/>
  <c r="Q659" i="12"/>
  <c r="R644" i="12"/>
  <c r="Q644" i="12"/>
  <c r="R643" i="12"/>
  <c r="Q643" i="12"/>
  <c r="R640" i="12"/>
  <c r="Q640" i="12"/>
  <c r="R642" i="12"/>
  <c r="Q642" i="12"/>
  <c r="E642" i="12"/>
  <c r="R641" i="12"/>
  <c r="Q641" i="12"/>
  <c r="E641" i="12"/>
  <c r="R658" i="12"/>
  <c r="Q658" i="12"/>
  <c r="R657" i="12"/>
  <c r="Q657" i="12"/>
  <c r="R656" i="12"/>
  <c r="Q656" i="12"/>
  <c r="R655" i="12"/>
  <c r="Q655" i="12"/>
  <c r="R654" i="12"/>
  <c r="Q654" i="12"/>
  <c r="R653" i="12"/>
  <c r="Q653" i="12"/>
  <c r="R652" i="12"/>
  <c r="Q652" i="12"/>
  <c r="R651" i="12"/>
  <c r="Q651" i="12"/>
  <c r="R650" i="12"/>
  <c r="Q650" i="12"/>
  <c r="R649" i="12"/>
  <c r="Q649" i="12"/>
  <c r="R648" i="12"/>
  <c r="Q648" i="12"/>
  <c r="R647" i="12"/>
  <c r="Q647" i="12"/>
  <c r="R646" i="12"/>
  <c r="Q646" i="12"/>
  <c r="R645" i="12"/>
  <c r="Q645" i="12"/>
  <c r="R639" i="12"/>
  <c r="Q639" i="12"/>
  <c r="E639" i="12"/>
  <c r="R638" i="12"/>
  <c r="Q638" i="12"/>
  <c r="R637" i="12"/>
  <c r="Q637" i="12"/>
  <c r="R636" i="12"/>
  <c r="Q636" i="12"/>
  <c r="R635" i="12"/>
  <c r="Q635" i="12"/>
  <c r="E635" i="12"/>
  <c r="R634" i="12"/>
  <c r="Q634" i="12"/>
  <c r="R633" i="12"/>
  <c r="Q633" i="12"/>
  <c r="R632" i="12"/>
  <c r="Q632" i="12"/>
  <c r="R631" i="12"/>
  <c r="Q631" i="12"/>
  <c r="R630" i="12"/>
  <c r="Q630" i="12"/>
  <c r="R628" i="12"/>
  <c r="Q628" i="12"/>
  <c r="R629" i="12"/>
  <c r="Q629" i="12"/>
  <c r="R627" i="12"/>
  <c r="Q627" i="12"/>
  <c r="R626" i="12"/>
  <c r="Q626" i="12"/>
  <c r="R625" i="12"/>
  <c r="Q625" i="12"/>
  <c r="R624" i="12"/>
  <c r="Q624" i="12"/>
  <c r="R623" i="12"/>
  <c r="Q623" i="12"/>
  <c r="R622" i="12"/>
  <c r="Q622" i="12"/>
  <c r="R621" i="12"/>
  <c r="Q621" i="12"/>
  <c r="R620" i="12"/>
  <c r="Q620" i="12"/>
  <c r="R619" i="12"/>
  <c r="Q619" i="12"/>
  <c r="R618" i="12"/>
  <c r="Q618" i="12"/>
  <c r="R616" i="12"/>
  <c r="Q616" i="12"/>
  <c r="R615" i="12"/>
  <c r="Q615" i="12"/>
  <c r="R614" i="12"/>
  <c r="Q614" i="12"/>
  <c r="R613" i="12"/>
  <c r="Q613" i="12"/>
  <c r="R612" i="12"/>
  <c r="Q612" i="12"/>
  <c r="R611" i="12"/>
  <c r="Q611" i="12"/>
  <c r="R610" i="12"/>
  <c r="Q610" i="12"/>
  <c r="R609" i="12"/>
  <c r="Q609" i="12"/>
  <c r="R608" i="12"/>
  <c r="Q608" i="12"/>
  <c r="R607" i="12"/>
  <c r="Q607" i="12"/>
  <c r="R606" i="12"/>
  <c r="Q606" i="12"/>
  <c r="R605" i="12"/>
  <c r="Q605" i="12"/>
  <c r="R604" i="12"/>
  <c r="Q604" i="12"/>
  <c r="R603" i="12"/>
  <c r="Q603" i="12"/>
  <c r="R602" i="12"/>
  <c r="Q602" i="12"/>
  <c r="E602" i="12"/>
  <c r="R601" i="12"/>
  <c r="Q601" i="12"/>
  <c r="E601" i="12"/>
  <c r="R600" i="12"/>
  <c r="Q600" i="12"/>
  <c r="R599" i="12"/>
  <c r="Q599" i="12"/>
  <c r="E599" i="12"/>
  <c r="R598" i="12"/>
  <c r="Q598" i="12"/>
  <c r="E598" i="12"/>
  <c r="R597" i="12"/>
  <c r="Q597" i="12"/>
  <c r="E597" i="12"/>
  <c r="R596" i="12"/>
  <c r="Q596" i="12"/>
  <c r="E596" i="12"/>
  <c r="R595" i="12"/>
  <c r="Q595" i="12"/>
  <c r="E595" i="12"/>
  <c r="R594" i="12"/>
  <c r="Q594" i="12"/>
  <c r="E594" i="12"/>
  <c r="R593" i="12"/>
  <c r="Q593" i="12"/>
  <c r="R592" i="12"/>
  <c r="Q592" i="12"/>
  <c r="R583" i="12"/>
  <c r="Q583" i="12"/>
  <c r="R591" i="12"/>
  <c r="Q591" i="12"/>
  <c r="R590" i="12"/>
  <c r="Q590" i="12"/>
  <c r="R589" i="12"/>
  <c r="Q589" i="12"/>
  <c r="R588" i="12"/>
  <c r="Q588" i="12"/>
  <c r="R587" i="12"/>
  <c r="Q587" i="12"/>
  <c r="R586" i="12"/>
  <c r="Q586" i="12"/>
  <c r="R585" i="12"/>
  <c r="Q585" i="12"/>
  <c r="R584" i="12"/>
  <c r="Q584" i="12"/>
  <c r="R582" i="12"/>
  <c r="Q582" i="12"/>
  <c r="R581" i="12"/>
  <c r="Q581" i="12"/>
  <c r="R580" i="12"/>
  <c r="Q580" i="12"/>
  <c r="R579" i="12"/>
  <c r="Q579" i="12"/>
  <c r="R565" i="12"/>
  <c r="Q565" i="12"/>
  <c r="R578" i="12"/>
  <c r="Q578" i="12"/>
  <c r="R577" i="12"/>
  <c r="Q577" i="12"/>
  <c r="R576" i="12"/>
  <c r="Q576" i="12"/>
  <c r="R575" i="12"/>
  <c r="Q575" i="12"/>
  <c r="R574" i="12"/>
  <c r="Q574" i="12"/>
  <c r="R573" i="12"/>
  <c r="Q573" i="12"/>
  <c r="R572" i="12"/>
  <c r="Q572" i="12"/>
  <c r="R571" i="12"/>
  <c r="Q571" i="12"/>
  <c r="R570" i="12"/>
  <c r="Q570" i="12"/>
  <c r="R569" i="12"/>
  <c r="Q569" i="12"/>
  <c r="R568" i="12"/>
  <c r="Q568" i="12"/>
  <c r="R567" i="12"/>
  <c r="Q567" i="12"/>
  <c r="R566" i="12"/>
  <c r="Q566" i="12"/>
  <c r="R564" i="12"/>
  <c r="Q564" i="12"/>
  <c r="R563" i="12"/>
  <c r="Q563" i="12"/>
  <c r="E563" i="12"/>
  <c r="R562" i="12"/>
  <c r="Q562" i="12"/>
  <c r="R561" i="12"/>
  <c r="Q561" i="12"/>
  <c r="R560" i="12"/>
  <c r="Q560" i="12"/>
  <c r="R559" i="12"/>
  <c r="Q559" i="12"/>
  <c r="R557" i="12"/>
  <c r="Q557" i="12"/>
  <c r="E557" i="12"/>
  <c r="R556" i="12"/>
  <c r="Q556" i="12"/>
  <c r="E556" i="12"/>
  <c r="R558" i="12"/>
  <c r="Q558" i="12"/>
  <c r="R555" i="12"/>
  <c r="Q555" i="12"/>
  <c r="E555" i="12"/>
  <c r="R554" i="12"/>
  <c r="Q554" i="12"/>
  <c r="R553" i="12"/>
  <c r="Q553" i="12"/>
  <c r="R552" i="12"/>
  <c r="Q552" i="12"/>
  <c r="Q551" i="12"/>
  <c r="R550" i="12"/>
  <c r="Q550" i="12"/>
  <c r="E550" i="12"/>
  <c r="R546" i="12"/>
  <c r="R58" i="12"/>
  <c r="Q58" i="12"/>
  <c r="R1061" i="12"/>
  <c r="Q1061" i="12"/>
  <c r="R1060" i="12"/>
  <c r="Q1060" i="12"/>
  <c r="R1058" i="12"/>
  <c r="Q1058" i="12"/>
  <c r="R1057" i="12"/>
  <c r="Q1057" i="12"/>
  <c r="R1056" i="12"/>
  <c r="Q1056" i="12"/>
  <c r="R1055" i="12"/>
  <c r="Q1055" i="12"/>
  <c r="R1054" i="12"/>
  <c r="Q1054" i="12"/>
  <c r="R1052" i="12"/>
  <c r="Q1052" i="12"/>
  <c r="R1051" i="12"/>
  <c r="Q1051" i="12"/>
  <c r="R536" i="12"/>
  <c r="Q536" i="12"/>
  <c r="R535" i="12"/>
  <c r="Q535" i="12"/>
  <c r="R534" i="12"/>
  <c r="Q534" i="12"/>
  <c r="R533" i="12"/>
  <c r="Q533" i="12"/>
  <c r="R532" i="12"/>
  <c r="Q532" i="12"/>
  <c r="R531" i="12"/>
  <c r="Q531" i="12"/>
  <c r="R45" i="12"/>
  <c r="Q45" i="12"/>
  <c r="R530" i="12"/>
  <c r="Q530" i="12"/>
  <c r="R529" i="12"/>
  <c r="Q529" i="12"/>
  <c r="Q1028" i="12"/>
  <c r="R35" i="12"/>
  <c r="Q35" i="12"/>
  <c r="R1025" i="12"/>
  <c r="Q1025" i="12"/>
  <c r="R1024" i="12"/>
  <c r="Q1024" i="12"/>
  <c r="R1023" i="12"/>
  <c r="Q1023" i="12"/>
  <c r="R1022" i="12"/>
  <c r="Q1022" i="12"/>
  <c r="R1021" i="12"/>
  <c r="Q1021" i="12"/>
  <c r="R1020" i="12"/>
  <c r="Q1020" i="12"/>
  <c r="R526" i="12"/>
  <c r="Q526" i="12"/>
  <c r="R1019" i="12"/>
  <c r="Q1019" i="12"/>
  <c r="R1018" i="12"/>
  <c r="Q1018" i="12"/>
  <c r="R1017" i="12"/>
  <c r="Q1017" i="12"/>
  <c r="R1016" i="12"/>
  <c r="Q1016" i="12"/>
  <c r="R1015" i="12"/>
  <c r="Q1015" i="12"/>
  <c r="R525" i="12"/>
  <c r="Q525" i="12"/>
  <c r="R524" i="12"/>
  <c r="Q524" i="12"/>
  <c r="R523" i="12"/>
  <c r="Q523" i="12"/>
  <c r="R34" i="12"/>
  <c r="Q34" i="12"/>
  <c r="R522" i="12"/>
  <c r="Q522" i="12"/>
  <c r="R521" i="12"/>
  <c r="Q521" i="12"/>
  <c r="R520" i="12"/>
  <c r="Q520" i="12"/>
  <c r="R519" i="12"/>
  <c r="Q519" i="12"/>
  <c r="R518" i="12"/>
  <c r="Q518" i="12"/>
  <c r="R517" i="12"/>
  <c r="Q517" i="12"/>
  <c r="R516" i="12"/>
  <c r="Q516" i="12"/>
  <c r="E516" i="12"/>
  <c r="R515" i="12"/>
  <c r="Q515" i="12"/>
  <c r="E515" i="12"/>
  <c r="R514" i="12"/>
  <c r="Q514" i="12"/>
  <c r="E514" i="12"/>
  <c r="R513" i="12"/>
  <c r="Q513" i="12"/>
  <c r="E513" i="12"/>
  <c r="R512" i="12"/>
  <c r="Q512" i="12"/>
  <c r="E512" i="12"/>
  <c r="R511" i="12"/>
  <c r="Q511" i="12"/>
  <c r="E511" i="12"/>
  <c r="R510" i="12"/>
  <c r="Q510" i="12"/>
  <c r="E510" i="12"/>
  <c r="R509" i="12"/>
  <c r="Q509" i="12"/>
  <c r="E509" i="12"/>
  <c r="R508" i="12"/>
  <c r="Q508" i="12"/>
  <c r="E508" i="12"/>
  <c r="R507" i="12"/>
  <c r="Q507" i="12"/>
  <c r="E507" i="12"/>
  <c r="R506" i="12"/>
  <c r="Q506" i="12"/>
  <c r="E506" i="12"/>
  <c r="R505" i="12"/>
  <c r="Q505" i="12"/>
  <c r="E505" i="12"/>
  <c r="R504" i="12"/>
  <c r="Q504" i="12"/>
  <c r="E504" i="12"/>
  <c r="Q503" i="12"/>
  <c r="E503" i="12"/>
  <c r="R502" i="12"/>
  <c r="Q502" i="12"/>
  <c r="R294" i="12"/>
  <c r="Q294" i="12"/>
  <c r="R293" i="12"/>
  <c r="Q293" i="12"/>
  <c r="R292" i="12"/>
  <c r="Q292" i="12"/>
  <c r="R291" i="12"/>
  <c r="Q291" i="12"/>
  <c r="R290" i="12"/>
  <c r="Q290" i="12"/>
  <c r="E290" i="12"/>
  <c r="R289" i="12"/>
  <c r="Q289" i="12"/>
  <c r="E289" i="12"/>
  <c r="R287" i="12"/>
  <c r="Q287" i="12"/>
  <c r="R286" i="12"/>
  <c r="Q286" i="12"/>
  <c r="R285" i="12"/>
  <c r="Q285" i="12"/>
  <c r="R288" i="12"/>
  <c r="Q288" i="12"/>
  <c r="E288" i="12"/>
  <c r="R284" i="12"/>
  <c r="Q284" i="12"/>
  <c r="R283" i="12"/>
  <c r="Q283" i="12"/>
  <c r="R282" i="12"/>
  <c r="Q282" i="12"/>
  <c r="R281" i="12"/>
  <c r="Q281" i="12"/>
  <c r="R280" i="12"/>
  <c r="Q280" i="12"/>
  <c r="R279" i="12"/>
  <c r="Q279" i="12"/>
  <c r="R278" i="12"/>
  <c r="Q278" i="12"/>
  <c r="E278" i="12"/>
  <c r="R277" i="12"/>
  <c r="Q277" i="12"/>
  <c r="E277" i="12"/>
  <c r="R276" i="12"/>
  <c r="Q276" i="12"/>
  <c r="E276" i="12"/>
  <c r="R275" i="12"/>
  <c r="Q275" i="12"/>
  <c r="E275" i="12"/>
  <c r="R274" i="12"/>
  <c r="Q274" i="12"/>
  <c r="E274" i="12"/>
  <c r="R273" i="12"/>
  <c r="Q273" i="12"/>
  <c r="E273" i="12"/>
  <c r="R261" i="12"/>
  <c r="Q261" i="12"/>
  <c r="E261" i="12"/>
  <c r="R260" i="12"/>
  <c r="Q260" i="12"/>
  <c r="E260" i="12"/>
  <c r="R259" i="12"/>
  <c r="Q259" i="12"/>
  <c r="E259" i="12"/>
  <c r="R258" i="12"/>
  <c r="Q258" i="12"/>
  <c r="E258" i="12"/>
  <c r="R257" i="12"/>
  <c r="Q257" i="12"/>
  <c r="E257" i="12"/>
  <c r="R256" i="12"/>
  <c r="Q256" i="12"/>
  <c r="E256" i="12"/>
  <c r="R255" i="12"/>
  <c r="Q255" i="12"/>
  <c r="E255" i="12"/>
  <c r="R254" i="12"/>
  <c r="Q254" i="12"/>
  <c r="R253" i="12"/>
  <c r="Q253" i="12"/>
  <c r="E253" i="12"/>
  <c r="R272" i="12"/>
  <c r="Q272" i="12"/>
  <c r="R271" i="12"/>
  <c r="Q271" i="12"/>
  <c r="R270" i="12"/>
  <c r="Q270" i="12"/>
  <c r="R269" i="12"/>
  <c r="Q269" i="12"/>
  <c r="R268" i="12"/>
  <c r="Q268" i="12"/>
  <c r="R267" i="12"/>
  <c r="Q267" i="12"/>
  <c r="R266" i="12"/>
  <c r="Q266" i="12"/>
  <c r="R265" i="12"/>
  <c r="Q265" i="12"/>
  <c r="R264" i="12"/>
  <c r="Q264" i="12"/>
  <c r="R263" i="12"/>
  <c r="Q263" i="12"/>
  <c r="R262" i="12"/>
  <c r="Q262" i="12"/>
  <c r="R252" i="12"/>
  <c r="Q252" i="12"/>
  <c r="E252" i="12"/>
  <c r="R251" i="12"/>
  <c r="Q251" i="12"/>
  <c r="R250" i="12"/>
  <c r="Q250" i="12"/>
  <c r="R249" i="12"/>
  <c r="Q249" i="12"/>
  <c r="E249" i="12"/>
  <c r="R248" i="12"/>
  <c r="Q248" i="12"/>
  <c r="E248" i="12"/>
  <c r="R247" i="12"/>
  <c r="Q247" i="12"/>
  <c r="E247" i="12"/>
  <c r="R246" i="12"/>
  <c r="Q246" i="12"/>
  <c r="E246" i="12"/>
  <c r="R245" i="12"/>
  <c r="Q245" i="12"/>
  <c r="E245" i="12"/>
  <c r="R244" i="12"/>
  <c r="Q244" i="12"/>
  <c r="E244" i="12"/>
  <c r="R243" i="12"/>
  <c r="Q243" i="12"/>
  <c r="E243" i="12"/>
  <c r="R242" i="12"/>
  <c r="Q242" i="12"/>
  <c r="E242" i="12"/>
  <c r="R241" i="12"/>
  <c r="Q241" i="12"/>
  <c r="E241" i="12"/>
  <c r="R240" i="12"/>
  <c r="Q240" i="12"/>
  <c r="E240" i="12"/>
  <c r="R239" i="12"/>
  <c r="Q239" i="12"/>
  <c r="E239" i="12"/>
  <c r="R238" i="12"/>
  <c r="Q238" i="12"/>
  <c r="E238" i="12"/>
  <c r="R237" i="12"/>
  <c r="Q237" i="12"/>
  <c r="E237" i="12"/>
  <c r="R235" i="12"/>
  <c r="Q235" i="12"/>
  <c r="R234" i="12"/>
  <c r="Q234" i="12"/>
  <c r="R233" i="12"/>
  <c r="Q233" i="12"/>
  <c r="R232" i="12"/>
  <c r="Q232" i="12"/>
  <c r="R231" i="12"/>
  <c r="Q231" i="12"/>
  <c r="R230" i="12"/>
  <c r="Q230" i="12"/>
  <c r="R229" i="12"/>
  <c r="Q229" i="12"/>
  <c r="R228" i="12"/>
  <c r="Q228" i="12"/>
  <c r="R227" i="12"/>
  <c r="Q227" i="12"/>
  <c r="R226" i="12"/>
  <c r="Q226" i="12"/>
  <c r="R225" i="12"/>
  <c r="Q225" i="12"/>
  <c r="R224" i="12"/>
  <c r="Q224" i="12"/>
  <c r="R223" i="12"/>
  <c r="Q223" i="12"/>
  <c r="R222" i="12"/>
  <c r="Q222" i="12"/>
  <c r="R221" i="12"/>
  <c r="Q221" i="12"/>
  <c r="R220" i="12"/>
  <c r="Q220" i="12"/>
  <c r="R236" i="12"/>
  <c r="Q236" i="12"/>
  <c r="E236" i="12"/>
  <c r="R219" i="12"/>
  <c r="Q219" i="12"/>
  <c r="R218" i="12"/>
  <c r="Q218" i="12"/>
  <c r="R217" i="12"/>
  <c r="Q217" i="12"/>
  <c r="R216" i="12"/>
  <c r="Q216" i="12"/>
  <c r="R215" i="12"/>
  <c r="Q215" i="12"/>
  <c r="R214" i="12"/>
  <c r="Q214" i="12"/>
  <c r="R213" i="12"/>
  <c r="Q213" i="12"/>
  <c r="R212" i="12"/>
  <c r="Q212" i="12"/>
  <c r="R211" i="12"/>
  <c r="Q211" i="12"/>
  <c r="R210" i="12"/>
  <c r="Q210" i="12"/>
  <c r="R209" i="12"/>
  <c r="Q209" i="12"/>
  <c r="R208" i="12"/>
  <c r="Q208" i="12"/>
  <c r="R207" i="12"/>
  <c r="Q207" i="12"/>
  <c r="E207" i="12"/>
  <c r="R206" i="12"/>
  <c r="Q206" i="12"/>
  <c r="E206" i="12"/>
  <c r="R205" i="12"/>
  <c r="Q205" i="12"/>
  <c r="E205" i="12"/>
  <c r="R204" i="12"/>
  <c r="Q204" i="12"/>
  <c r="R203" i="12"/>
  <c r="Q203" i="12"/>
  <c r="R202" i="12"/>
  <c r="Q202" i="12"/>
  <c r="R201" i="12"/>
  <c r="Q201" i="12"/>
  <c r="E201" i="12"/>
  <c r="R200" i="12"/>
  <c r="Q200" i="12"/>
  <c r="E200" i="12"/>
  <c r="R199" i="12"/>
  <c r="Q199" i="12"/>
  <c r="E199" i="12"/>
  <c r="R198" i="12"/>
  <c r="Q198" i="12"/>
  <c r="E198" i="12"/>
  <c r="R197" i="12"/>
  <c r="Q197" i="12"/>
  <c r="E197" i="12"/>
  <c r="R196" i="12"/>
  <c r="Q196" i="12"/>
  <c r="E196" i="12"/>
  <c r="R195" i="12"/>
  <c r="Q195" i="12"/>
  <c r="E195" i="12"/>
  <c r="R194" i="12"/>
  <c r="Q194" i="12"/>
  <c r="E194" i="12"/>
  <c r="R193" i="12"/>
  <c r="Q193" i="12"/>
  <c r="E193" i="12"/>
  <c r="R192" i="12"/>
  <c r="Q192" i="12"/>
  <c r="E192" i="12"/>
  <c r="R191" i="12"/>
  <c r="Q191" i="12"/>
  <c r="E191" i="12"/>
  <c r="R190" i="12"/>
  <c r="Q190" i="12"/>
  <c r="E190" i="12"/>
  <c r="R183" i="12"/>
  <c r="Q183" i="12"/>
  <c r="E183" i="12"/>
  <c r="R182" i="12"/>
  <c r="Q182" i="12"/>
  <c r="E182" i="12"/>
  <c r="R181" i="12"/>
  <c r="Q181" i="12"/>
  <c r="E181" i="12"/>
  <c r="R180" i="12"/>
  <c r="Q180" i="12"/>
  <c r="E180" i="12"/>
  <c r="R179" i="12"/>
  <c r="Q179" i="12"/>
  <c r="E179" i="12"/>
  <c r="R178" i="12"/>
  <c r="Q178" i="12"/>
  <c r="E178" i="12"/>
  <c r="R177" i="12"/>
  <c r="Q177" i="12"/>
  <c r="R176" i="12"/>
  <c r="Q176" i="12"/>
  <c r="R175" i="12"/>
  <c r="Q175" i="12"/>
  <c r="R174" i="12"/>
  <c r="Q174" i="12"/>
  <c r="R173" i="12"/>
  <c r="Q173" i="12"/>
  <c r="R70" i="12"/>
  <c r="Q70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I8" i="12"/>
</calcChain>
</file>

<file path=xl/sharedStrings.xml><?xml version="1.0" encoding="utf-8"?>
<sst xmlns="http://schemas.openxmlformats.org/spreadsheetml/2006/main" count="18675" uniqueCount="2583">
  <si>
    <t xml:space="preserve">Proveedor </t>
  </si>
  <si>
    <t>Cliente / Empresa</t>
  </si>
  <si>
    <t>Tiempo de Entrega
Proveedor</t>
  </si>
  <si>
    <t>Estatus de 
Despacho</t>
  </si>
  <si>
    <t>Nº Cotización</t>
  </si>
  <si>
    <t>Dirección</t>
  </si>
  <si>
    <t>Telefono</t>
  </si>
  <si>
    <t>Correo</t>
  </si>
  <si>
    <t>Estatus de 
Cotización</t>
  </si>
  <si>
    <t>Observación</t>
  </si>
  <si>
    <t>Estatus de 
Cobro</t>
  </si>
  <si>
    <t>Vendedor</t>
  </si>
  <si>
    <t>Kevin Chirinos</t>
  </si>
  <si>
    <t>ARROZ EL CRISTAL, C.A</t>
  </si>
  <si>
    <t>QUIMICOLOR, C.A</t>
  </si>
  <si>
    <t>1-2 Week</t>
  </si>
  <si>
    <t>2-3 Week</t>
  </si>
  <si>
    <t>Tiempo de Entrega
Cliente</t>
  </si>
  <si>
    <t>SHOP PUMPS</t>
  </si>
  <si>
    <t>JHOVANI SKF</t>
  </si>
  <si>
    <t>EBAY</t>
  </si>
  <si>
    <t xml:space="preserve">2 DÍAS MIAMI </t>
  </si>
  <si>
    <t>Inmediata</t>
  </si>
  <si>
    <t>N/A</t>
  </si>
  <si>
    <t xml:space="preserve">1 Semana MIAMI </t>
  </si>
  <si>
    <t>Estatus de 
O.C</t>
  </si>
  <si>
    <t>PLASTICOS DE EMPAQUES, C.A</t>
  </si>
  <si>
    <t>Jesus Montoya</t>
  </si>
  <si>
    <t>PAPELES LUCIANO'S C.A</t>
  </si>
  <si>
    <t>ALICE NEUMATICOS DE VENEZUELA, C.A</t>
  </si>
  <si>
    <t>Fecha Recibe
O.C</t>
  </si>
  <si>
    <t>GRUPO EBENEZER, C.A</t>
  </si>
  <si>
    <t>AVICOLA LA GUASIMA</t>
  </si>
  <si>
    <t>INTERAMERICANA DE CABLES VENEZUELA, S.A</t>
  </si>
  <si>
    <t>MATADERO INDUSTRIAL LAS VEGAS C.A</t>
  </si>
  <si>
    <t>Fecha de Envío
Cotización</t>
  </si>
  <si>
    <t>3-4 Week</t>
  </si>
  <si>
    <t>7  Días</t>
  </si>
  <si>
    <t>WIX</t>
  </si>
  <si>
    <t>4-6 Week</t>
  </si>
  <si>
    <t>ALIMENTOS DIFRESCA C.A</t>
  </si>
  <si>
    <t>ANGEL</t>
  </si>
  <si>
    <t>PERDIDO</t>
  </si>
  <si>
    <t>PERDIDO POR PRECIO</t>
  </si>
  <si>
    <t>APROBADO</t>
  </si>
  <si>
    <t>ENTREGADO</t>
  </si>
  <si>
    <t>EN ESPERA</t>
  </si>
  <si>
    <t>COBRADO</t>
  </si>
  <si>
    <t>SIN RESPUESTA DE COMPRADOR</t>
  </si>
  <si>
    <t>ALIMENTOS MULCOVEN C.A</t>
  </si>
  <si>
    <t>JOSE</t>
  </si>
  <si>
    <t>3 Week</t>
  </si>
  <si>
    <t>SCABA EQUIPAMIENTO Y ARQUITECTURA COMERCIAL C.A</t>
  </si>
  <si>
    <t>EL TUNAL C.A</t>
  </si>
  <si>
    <t>ALIMENTOS VENEZOLANOS S &amp; M ALIVENSA S.A</t>
  </si>
  <si>
    <t>SERVICIOS AVICOLA, C.A</t>
  </si>
  <si>
    <t>5-6 Week</t>
  </si>
  <si>
    <t xml:space="preserve"> </t>
  </si>
  <si>
    <t>PROAGRO C.A</t>
  </si>
  <si>
    <t>PASTEURIZADORA TACHIRA C.A</t>
  </si>
  <si>
    <t>GRUPO LA CARIDAD</t>
  </si>
  <si>
    <t>VENEZOLANA DE VIDRIO C.A</t>
  </si>
  <si>
    <t>3 Días</t>
  </si>
  <si>
    <t>SIN RESPUESTA DE COMPRADOR / NO ESTAN ABRIENDO NUEVOS COD</t>
  </si>
  <si>
    <t>CHEMICAL</t>
  </si>
  <si>
    <t>AGROPORC C.A</t>
  </si>
  <si>
    <t>N° ITEM</t>
  </si>
  <si>
    <t>Monto Cotizado
($/Unid)</t>
  </si>
  <si>
    <t>FRANCHESCA</t>
  </si>
  <si>
    <t>7 Días</t>
  </si>
  <si>
    <t>INDUSTRIAL</t>
  </si>
  <si>
    <t>DANFOSS USA</t>
  </si>
  <si>
    <t>AMCOR RIGID PACKING DE VENEZUELA C.A</t>
  </si>
  <si>
    <t>2 Week</t>
  </si>
  <si>
    <t>BIMBO DE VENEZUELA c.a</t>
  </si>
  <si>
    <t>INTERNACIONAL DE DESARROLLO, S.A</t>
  </si>
  <si>
    <t>MONDELEZ VZ, C.A</t>
  </si>
  <si>
    <t>1 Week</t>
  </si>
  <si>
    <t>PLANTA DE HIELO TEREPAIMA, C.A</t>
  </si>
  <si>
    <t>PERDIDO POR PRECIO / ENCONTRO EL MAT. EN LA MISMA ZONA</t>
  </si>
  <si>
    <t>PERDIDA POR NO HABER MATERIAL COMPLETO EN STOCK</t>
  </si>
  <si>
    <t>BIMBO DE VENEZUELA, C.A</t>
  </si>
  <si>
    <t>CARTONERA DEL CARIBE C.A</t>
  </si>
  <si>
    <t>O.C</t>
  </si>
  <si>
    <t>STATUS</t>
  </si>
  <si>
    <t>ENVASES VENEZOLANOS, C.A</t>
  </si>
  <si>
    <t>PERDIDO/ COMPRARON PAILAS</t>
  </si>
  <si>
    <t>Inmediata / 3-4 Week</t>
  </si>
  <si>
    <t>En espera</t>
  </si>
  <si>
    <t>MULTI-REPUESTOS Y SERVICIOS G&amp;R C.A</t>
  </si>
  <si>
    <t>MOLINOS NACIONALES C.A</t>
  </si>
  <si>
    <t>SAVIRAM, C.A</t>
  </si>
  <si>
    <t>SOLO GANO 1 ITEM (COTIZACION TOTAL 848,43$)</t>
  </si>
  <si>
    <t>SOLO GANO 1 ITEM (COTIZACION TOTAL 770)</t>
  </si>
  <si>
    <t>ALPLA DE VENEZUELA C.A</t>
  </si>
  <si>
    <t>PASTAS LA ESPECIAL C.A</t>
  </si>
  <si>
    <t>AVICOLA LA GUASIMA C.A</t>
  </si>
  <si>
    <t xml:space="preserve">PRODUCTOS DE VIDRIO S.A (PRODUVISA) </t>
  </si>
  <si>
    <t>LANTA DE VENEZUELA C.A</t>
  </si>
  <si>
    <t>1 -2 Week</t>
  </si>
  <si>
    <t>MULTISERVICIOS VENETRAIL, C.A</t>
  </si>
  <si>
    <t xml:space="preserve">METALFLETES DE VENEZUELA </t>
  </si>
  <si>
    <t>PRODUCTOS DE VIDRIO S.A (PRODUVISA)</t>
  </si>
  <si>
    <t>EMPAQUES LIM C.A.</t>
  </si>
  <si>
    <t>3-5 Dias</t>
  </si>
  <si>
    <t>CENTRAL AZUCARERO PORTUGUESA C.A</t>
  </si>
  <si>
    <t>60DIAS</t>
  </si>
  <si>
    <t>SOLO CANO 2 ITEM (COTIZACIÓN DE 3584,55$)</t>
  </si>
  <si>
    <t>6-7 Week</t>
  </si>
  <si>
    <t>GRANJAS LA CARIDAD, C.A</t>
  </si>
  <si>
    <t>SE LLEVO LA MANGUERA Y NO FUNCIONO (NO ESPERARON Y COMPRARON )</t>
  </si>
  <si>
    <t>SOLO GANO 1 ITEN( COTIZACIÓN TOTAL 264,25)</t>
  </si>
  <si>
    <t>SOLO GANO 1 ITEM (COTIZACION TOTAL 2145)</t>
  </si>
  <si>
    <t>INDUSTRIA LACTEA VENEZOLANA, C.A</t>
  </si>
  <si>
    <t>2-4 Week</t>
  </si>
  <si>
    <t>GRUPO CORIMON C.A.</t>
  </si>
  <si>
    <t>IENCA INVERSIONES C A</t>
  </si>
  <si>
    <t>IENCA INVERSIONES C.A</t>
  </si>
  <si>
    <t>AGROPECUARIA FUERZAS INTEGRADAS, C.A</t>
  </si>
  <si>
    <t>inmediata</t>
  </si>
  <si>
    <t>JHONATAN GONZALEZ</t>
  </si>
  <si>
    <t>SIN N° ORDEN / ACEITE GULF</t>
  </si>
  <si>
    <t>INVERSIONES GLOBAL 1411, C.A.</t>
  </si>
  <si>
    <t>SOLUCIONES NUTRICIONALES NUTS CA</t>
  </si>
  <si>
    <t>4-5 Week</t>
  </si>
  <si>
    <t>AGROBUEYCA, S.A</t>
  </si>
  <si>
    <t>LA MONTSERRATINA C.A.</t>
  </si>
  <si>
    <t>2-3 Dias</t>
  </si>
  <si>
    <t>INDUSTRIA VENEZOLANA MAICERA PRONUTRICOS, C.A.</t>
  </si>
  <si>
    <t>MANN+HUMMEL FILTRATION TECHNOLOGY VENEZUELA, C.A</t>
  </si>
  <si>
    <t>ALIMENTOS HEINZ, C.A</t>
  </si>
  <si>
    <t>PÉRDIDA POR PRECIO </t>
  </si>
  <si>
    <t>PÉRDIDA POR PRECIO y TIEMPO DE ENTREGA</t>
  </si>
  <si>
    <t>HACIENDA SANTA TERESA, C.A.</t>
  </si>
  <si>
    <t>4 Week</t>
  </si>
  <si>
    <t>SOLO GANO 1 ITEM (COTIZACION TOTAL 843,3$)</t>
  </si>
  <si>
    <t>GULF</t>
  </si>
  <si>
    <t>SOLICITARON PARA SABER PRECIOS</t>
  </si>
  <si>
    <t>MOLDEADOS ANDINOS C.A MOLANCA</t>
  </si>
  <si>
    <t>CATESCO GOMAS, C.A</t>
  </si>
  <si>
    <t>7 - 12 Dias</t>
  </si>
  <si>
    <t>SOLO GANO 1 ITEM 114,4 PERO REALIZO UNA NUEVA COTIZACION#36250</t>
  </si>
  <si>
    <t>2-5 Week</t>
  </si>
  <si>
    <t>ANCA, Asociación Nacional de Cultivadores Agrícolas</t>
  </si>
  <si>
    <t>AGROLUCHA, C.A</t>
  </si>
  <si>
    <t>Cliente</t>
  </si>
  <si>
    <t>TIPO DE CLIENTE</t>
  </si>
  <si>
    <t>Motivo de la
Visita</t>
  </si>
  <si>
    <t>Enlaces</t>
  </si>
  <si>
    <t>FECHA</t>
  </si>
  <si>
    <t>Resultado de la
Visita</t>
  </si>
  <si>
    <t>VICSON</t>
  </si>
  <si>
    <t>NUEVO</t>
  </si>
  <si>
    <t>Conocer Comnprador</t>
  </si>
  <si>
    <t>COMPRADOR</t>
  </si>
  <si>
    <t>KEVIN</t>
  </si>
  <si>
    <t>COLGATE</t>
  </si>
  <si>
    <t>ENVASES LIVIANOS DE VENEZUELA</t>
  </si>
  <si>
    <t>AJEBEN</t>
  </si>
  <si>
    <t>NO ATENDIERON, CERRADO SIN INFO.</t>
  </si>
  <si>
    <t>SIKA</t>
  </si>
  <si>
    <t xml:space="preserve">ANGEL </t>
  </si>
  <si>
    <t>ALIMENTOS DEL MERU</t>
  </si>
  <si>
    <t>LA MIGAL</t>
  </si>
  <si>
    <t>LANTA</t>
  </si>
  <si>
    <t>AGROLUCHA</t>
  </si>
  <si>
    <t>OVOMAR</t>
  </si>
  <si>
    <t>SAVIRAM</t>
  </si>
  <si>
    <t>CONSOLIDADO</t>
  </si>
  <si>
    <t>NUEVAS COTIZACIONES</t>
  </si>
  <si>
    <t>EMBUTIDO FRIO CARNE</t>
  </si>
  <si>
    <t>EMPAQUES LIM</t>
  </si>
  <si>
    <t>NESTLE</t>
  </si>
  <si>
    <t>OLEICA</t>
  </si>
  <si>
    <t>Conversar con Comprador</t>
  </si>
  <si>
    <t>JEFE DE COMPRA; ING. JUAN VILLEGAS</t>
  </si>
  <si>
    <t>IANCARINA</t>
  </si>
  <si>
    <t>SIGLO AMAZO</t>
  </si>
  <si>
    <t>ARROZ MASIA</t>
  </si>
  <si>
    <t>MAXIMA (PROALCA)</t>
  </si>
  <si>
    <t>CHEMPRO</t>
  </si>
  <si>
    <t>PLUMROSE</t>
  </si>
  <si>
    <t>PRODUVISA</t>
  </si>
  <si>
    <t>AGROBUEYCA</t>
  </si>
  <si>
    <t>PUROLOMO</t>
  </si>
  <si>
    <t>MONACA( PUERTO CABELLO)</t>
  </si>
  <si>
    <t>JEFE DE COMPRA,COMPRADOR</t>
  </si>
  <si>
    <t>EBENEZER</t>
  </si>
  <si>
    <t>MOLVENCA</t>
  </si>
  <si>
    <t>Fecha</t>
  </si>
  <si>
    <t>Comprador</t>
  </si>
  <si>
    <t>Resultado de la
llamada</t>
  </si>
  <si>
    <t>Informar estatus
de su orden de compra</t>
  </si>
  <si>
    <t>JESUS</t>
  </si>
  <si>
    <t>HEINZ</t>
  </si>
  <si>
    <t>Para informar sobre el cambio
de asesor de ventas.</t>
  </si>
  <si>
    <t>LISSETH</t>
  </si>
  <si>
    <t>DIFRESCA</t>
  </si>
  <si>
    <t>YARELVI</t>
  </si>
  <si>
    <t>AZUCARE PORTUGUESA</t>
  </si>
  <si>
    <t>ALFREDO</t>
  </si>
  <si>
    <t>JULIO</t>
  </si>
  <si>
    <t>PURO AVENA</t>
  </si>
  <si>
    <t>Mondelez</t>
  </si>
  <si>
    <t>Para perdir mas informacion sobre requerimiento.</t>
  </si>
  <si>
    <t>YENIRE</t>
  </si>
  <si>
    <t>Informar sobre el pago de la O.C.</t>
  </si>
  <si>
    <t>FRANCIA</t>
  </si>
  <si>
    <t>Para informar sobre la cotizacion
enviada.</t>
  </si>
  <si>
    <t>Para saber estatus de Cotizacion</t>
  </si>
  <si>
    <t>MONACA PUERTO CABELLO</t>
  </si>
  <si>
    <t>Saber porque no le han llegado
cotizaciones</t>
  </si>
  <si>
    <t>ARICHUNA</t>
  </si>
  <si>
    <t>LUIS</t>
  </si>
  <si>
    <t>Entregar Productos, 
Conversar con Comprador</t>
  </si>
  <si>
    <t>Entregar Facturas</t>
  </si>
  <si>
    <t>LANI</t>
  </si>
  <si>
    <t>RIF</t>
  </si>
  <si>
    <t>J-300281019</t>
  </si>
  <si>
    <t>AGRO INDUSTRIA INDUSTRIAL EL PAUJI, C.A</t>
  </si>
  <si>
    <t>Carretera Panamericana, Hacienda Santa Teresa, El Consejo, Edo. Aragua</t>
  </si>
  <si>
    <t>J-30714047-0</t>
  </si>
  <si>
    <t>AV. 03 Parcela N° A-006 Zona Industrial Santa Cruz de Aragua, Edo-Aragua-Venezuela Z.P 2123</t>
  </si>
  <si>
    <t>(0243) 3009100</t>
  </si>
  <si>
    <t>J-30539871-2</t>
  </si>
  <si>
    <t>AGROPECURIA FUERZAS INTEGRADAS, C.A</t>
  </si>
  <si>
    <t>CTRA NACIONAL N° 6LOCAL FUNDO EL HONDON Y PETAQUIRE SECTOR EL CALVARIOCALABOZO GUARICO</t>
  </si>
  <si>
    <t>J-30210508-0</t>
  </si>
  <si>
    <t>AGROPORC, C.A</t>
  </si>
  <si>
    <t>AV. 6TA. EDIF LA CARIDAD, PISO 1 OF 1 URB. LA SOLEDAD, MARACAY ARAGUA</t>
  </si>
  <si>
    <t>J-00000828-0</t>
  </si>
  <si>
    <t>Alcave Venezuela C C.A.</t>
  </si>
  <si>
    <t>CARRETERA NACIONAL VALENCIA - LOS GUAYOS LOCAL PLANTA CONAL PISO 1. SECTOR LOS GUAYOS VALENCIA EDO CARABOBO</t>
  </si>
  <si>
    <t>(0241) 8741413</t>
  </si>
  <si>
    <t>J-00031531-0</t>
  </si>
  <si>
    <t>ALFONZO RIVAS &amp; CIA, C.A</t>
  </si>
  <si>
    <t>AV LA ESTANCIA EDIF GENERAL PISO 8 OF CHUAO URB CHUAO CARACAS (CHACAO) MIRANDA ZONA POSTAL 1061</t>
  </si>
  <si>
    <t>(0244) 6632320</t>
  </si>
  <si>
    <t>J-00014678-0</t>
  </si>
  <si>
    <t>ALICE NEUMATICOS DE VENEZUELA</t>
  </si>
  <si>
    <t>CTRA NACIONAL VALENCIA LOS GUAYOS EDIF SEDE ÚNICA PISO PB OF SEDE ÚNICA ZONA INDUSTRIAL MUNICIPAL NORTE</t>
  </si>
  <si>
    <t>(0241) 8747647</t>
  </si>
  <si>
    <t>J-00011051-4</t>
  </si>
  <si>
    <t>ALIMENTOS DIFRESCA, C.A.</t>
  </si>
  <si>
    <t>Carretera Nacional Cagua Villa de Cura Zona Industrial Las Vegas Cagua Edo Aragua</t>
  </si>
  <si>
    <t>(0244) 3902375</t>
  </si>
  <si>
    <t>J-07586215-5</t>
  </si>
  <si>
    <t>ALIMENTOS HEINZ, C.A.</t>
  </si>
  <si>
    <t>CARRETERA SAN JOAQUIN, MARIARA. SAN JOAQUIN ESTADO CARABOBO</t>
  </si>
  <si>
    <t>(0241) 8132068</t>
  </si>
  <si>
    <t>J-30699820-9</t>
  </si>
  <si>
    <t>ALIMENTOS MULCOVEN, C.A.</t>
  </si>
  <si>
    <t>AV NAIGUATA CON AV. PARAGUA CC NAIGUATA NIVEL 1 LOCAL 8 Y 9 URB EL MARQUES CARACAS MIRANDA ZONA POSTAL 1071</t>
  </si>
  <si>
    <t>J-40011571-0</t>
  </si>
  <si>
    <t>ALIMENTOS VENEZOLANOS S&amp;M ALIVENSA S.A.</t>
  </si>
  <si>
    <t>CTRA VIA A ESPINITAL CC COMPLEJO AGROINDUSTRIAL ALIVENSA, S.A. NIVEL P.B. LOCAL 01 SECTOR MARATAN</t>
  </si>
  <si>
    <t>(0255)  2114287</t>
  </si>
  <si>
    <t>J-30509792-5</t>
  </si>
  <si>
    <t>AMCOR RIGID PACKAGING DE VENEZUELA, S.A.</t>
  </si>
  <si>
    <t>Calle Este Oeste 5 C/C Av. Norte Sur 5 Edif AMCOR Piso PB OF ADM. Zona Industrial Municipal Norte Zona Postal 2003</t>
  </si>
  <si>
    <t>(0241) 8391026 - 5151026</t>
  </si>
  <si>
    <t>J-00022787</t>
  </si>
  <si>
    <t>Alpla de Venezuela S.A.</t>
  </si>
  <si>
    <t>CC Alpla Nivel 0 Local 0 Zona San Joaquín. Carabobo / Venezuela Carretera Nacional Guacara - San Joaquín</t>
  </si>
  <si>
    <t>(414) 4101507</t>
  </si>
  <si>
    <t>J-00225418-1</t>
  </si>
  <si>
    <t>Carretera Nacional Via Payara, Edificio Arroz el Cristal. Acarigua, Edo. Portuguesa</t>
  </si>
  <si>
    <t>J-07582288-9</t>
  </si>
  <si>
    <t>CTRA VIEJA VIA TOCUYITO CASA NRO N/A SECTOR LA GUASIMA TOCUYITO CARABOBO ZONA POSTAL 2035</t>
  </si>
  <si>
    <t>J-07505170-0</t>
  </si>
  <si>
    <t>AZUCARERA PORTUGUESA</t>
  </si>
  <si>
    <t>Acarigua, Venezuela</t>
  </si>
  <si>
    <t>J-0046919-9</t>
  </si>
  <si>
    <t>ZONA INDUSTRIAL DEL ESTE URB. MATURIN PROLONGACION AV.II SECTOR LOS BARBECHOS GUARENAS EDO. MIRANDA</t>
  </si>
  <si>
    <t>(212) 2390918</t>
  </si>
  <si>
    <t>J-00054973-7</t>
  </si>
  <si>
    <t>CARTONERA DEL CARIBE C.A.</t>
  </si>
  <si>
    <t>AV URDANETA EDIF CENTRO FINANCIERO LATINO PISO 16 OF 9 URB LA CANDELARIA CARACAS DISTRITO CAPITAL ZONA POSTAL 1010</t>
  </si>
  <si>
    <t>J-07032176-8</t>
  </si>
  <si>
    <t>CARGILL DE VENEZUELA , S.R.L</t>
  </si>
  <si>
    <t>Av. FRANCISCO DE MIRANDA, Edif. PARQUE CRISTAL PISO 8 OF 8-1 LOS PALOS GRANDES CARACAS (CHACAO) MIRANDA ZONA POSTAL 1060</t>
  </si>
  <si>
    <t>(0212) 2085422</t>
  </si>
  <si>
    <t>J-30383621-6</t>
  </si>
  <si>
    <t>COCACOLA FEMSA DE VENEZUELA S.A</t>
  </si>
  <si>
    <t>4TA TRANSVERSAL CORTIJOS DE LOURDES, VENEZUELA DISTRITO FEDERAL</t>
  </si>
  <si>
    <t>(0212) 2036411</t>
  </si>
  <si>
    <t>J-00266443-6</t>
  </si>
  <si>
    <t>CONSORCIO CREDICARD, C.A.</t>
  </si>
  <si>
    <t>Av. Santa Lucía con Santa Isabel, Torre Credicard, Pisos 19 y 20, Urb. El Bosque,Caracas</t>
  </si>
  <si>
    <t>(0212) 9559811</t>
  </si>
  <si>
    <t>J-00029572-7</t>
  </si>
  <si>
    <t>CORIMON PINTURAS C.A (CORIMON PINTURAS C.A. )</t>
  </si>
  <si>
    <t>AV HANS NEUMANN LOCAL NRO S/N URB INDUSTRIAL EL BOSQUE VALENCIA CARABOBO ZONA POSTAL 2003</t>
  </si>
  <si>
    <t>(0241) 6131447</t>
  </si>
  <si>
    <t>J-30024477-6</t>
  </si>
  <si>
    <t>Av el Cementerio - Final - Local NRO S/N Sector via Caserio Moron, Quibor Quibor Lara zona Postal 3061</t>
  </si>
  <si>
    <t>(0253) 4911001</t>
  </si>
  <si>
    <t>J-08512817-4</t>
  </si>
  <si>
    <t>EMBUTIDOS ARICHUNA, C.A. (EMBUTIDOS ARICHUNA,C.A.)</t>
  </si>
  <si>
    <t>CR 1 CON CALLE 4 LOCAL 4 ZONA INDUSTRIAL 3 BARQUISIMETO LARA ZONA POSTAL 3001</t>
  </si>
  <si>
    <t>(0251) 4205000</t>
  </si>
  <si>
    <t>J-07547020-6</t>
  </si>
  <si>
    <t>EMPAQUES LIM C.A</t>
  </si>
  <si>
    <t>CTRA TURMERO MARACAY LOCAL PARCELA 27-A GALPON NRO 1 Y 2  SECTOR EL MACARO ZONA POSTAL 2115</t>
  </si>
  <si>
    <t xml:space="preserve">(0414) 3446874  </t>
  </si>
  <si>
    <t>J-40339580-2</t>
  </si>
  <si>
    <t>GANADERIA CACHO E VENAO, C.A. (BOTALON)</t>
  </si>
  <si>
    <t>AV 32 CALLE DE SERVICIO DE LA ZONA INDUSTRIAL LOCAL CENTRO AGROINDUSTRIAL EL BOTALON GALPON NRO 01 ZONA INDUSTRIAL</t>
  </si>
  <si>
    <t>(0251) 2535302</t>
  </si>
  <si>
    <t>J-41320612-9</t>
  </si>
  <si>
    <t>GB CHEMPRO, C.A.</t>
  </si>
  <si>
    <t>AV 3 LOCAL NRO. ZONA INDUSTRIAL SANTA CRUZ.</t>
  </si>
  <si>
    <t>(0241) 8349902</t>
  </si>
  <si>
    <t>J-075395107</t>
  </si>
  <si>
    <t>J-41154048-0</t>
  </si>
  <si>
    <t>GRUPO EBENEZER C.A</t>
  </si>
  <si>
    <t>AV SORTE EDIF AVICOLA EBENEZER PISO S/N OF 4 ZONA INDUSTRIAL CHIVACOA YARACUY ZONA POSTAL 3202</t>
  </si>
  <si>
    <t>(0414) 9550449</t>
  </si>
  <si>
    <t>AV. 6TA. EDIF LA CARIDAD, PISO 2 OF 2 URB. LA SOLEDAD, MARACAY ARAGUA</t>
  </si>
  <si>
    <t>J-08503328-9</t>
  </si>
  <si>
    <t>IANCARINA, C.A.</t>
  </si>
  <si>
    <t>Parque Industrial Los Llanos, Km. 185 carretera nacional vía a Guanare</t>
  </si>
  <si>
    <t>(0255) 7114400 Ext 158</t>
  </si>
  <si>
    <t>J-00331577-0</t>
  </si>
  <si>
    <t>AV. PROLONGACION AV.TRIESTE C/C MIRANDA EDIF PLUMRORE PISO 1  DE ADMINISTRATIVA, URB LOS RUICES SUR CARACAS MIRANDA</t>
  </si>
  <si>
    <t>(0244) 3901300</t>
  </si>
  <si>
    <t>J-00019368-1</t>
  </si>
  <si>
    <t>Industria Lactea Venezolana, C.A. (PARMALAT)</t>
  </si>
  <si>
    <t>Av. San Francisco, cruce con calle Palmarito Colinas de la California 1071 Miranda Venezuela</t>
  </si>
  <si>
    <t>INDUSTRIA VENEZOLANA MAICERA PRONUTRICOS, C.A</t>
  </si>
  <si>
    <t>AV.32 CALLE DE SERVICIO DE LA ZONA INDUSTRIAL LOCAL CENTRO AGROINDUSTRIAL</t>
  </si>
  <si>
    <t>J-30747346-0</t>
  </si>
  <si>
    <t>INDUSTRIA VENEZOLANA MAIZERA PROAREPA, C.A.</t>
  </si>
  <si>
    <t>CTRA. SANTA LUCIA LOCAL NRO. S/N SECTOR SANTA LUCIA. CARACAS (PETARE) MIRANDA</t>
  </si>
  <si>
    <t>(0255) 6000135</t>
  </si>
  <si>
    <t>J-30364069-9</t>
  </si>
  <si>
    <t>AV. LISANDRO ALVARADO, EDIF. CABEL, PISO PB, OF. CABEL, SECTOR LA FLORIDA, VALENCIA - EDO. CARABOBO</t>
  </si>
  <si>
    <t>(0241) 8312619 - 8533092</t>
  </si>
  <si>
    <t>CTRA. VIA LA MARIPOSA ENTRE SAN JOSE Y SAN DIEGO DE LOS ALTOS NUCLEO INDUSTRIAL CARONI</t>
  </si>
  <si>
    <t>J-00114349-1</t>
  </si>
  <si>
    <t>LA MONSERRATINA C.A</t>
  </si>
  <si>
    <t>AV. ANDRES BELLO LOCAL N°38-40-42, ZONA INDUSTRIAL LAS TEJERIAS EDO. ARAGUA</t>
  </si>
  <si>
    <t>(0244-4005700)</t>
  </si>
  <si>
    <t>LANTA DE VENEZUELA, C.A</t>
  </si>
  <si>
    <t>MARACAY, EDO ARAGUA</t>
  </si>
  <si>
    <t>J-00066418-8</t>
  </si>
  <si>
    <t>MANH+HUMMEL FILTRATION TECHNOLOGY VENEZUELA, C.A</t>
  </si>
  <si>
    <t>AV. BRANGER C/C IRIBARREN BORGES LOCAL NRO N/A ZONA INDUSTRIAL SUR VALENCIA EDO. CARABOBO</t>
  </si>
  <si>
    <t>J-40263415-3</t>
  </si>
  <si>
    <t>AV 2DA TRANSVERSAL EDIF MATADERO - PLUMROSE PISO 1 OF ADMINISTRATIVA ZONA INDUSTRIAL LAS VEGAS</t>
  </si>
  <si>
    <t>(0244) 3907200 Ext 7219</t>
  </si>
  <si>
    <t>J-30728957-0</t>
  </si>
  <si>
    <t>MEGAPET, C.A.</t>
  </si>
  <si>
    <t>Av. 3 Local Lote Nro 8 Zona Industrial, Santa Cruz 2101, ARAGUA ZONA POSTAL 2123</t>
  </si>
  <si>
    <t>(0244) 4006342</t>
  </si>
  <si>
    <t>J-00853763-0</t>
  </si>
  <si>
    <t>MOLDEADOS ANDINO CA MOLANCA</t>
  </si>
  <si>
    <t>ZONA INDUSTRIAL SUR, AV DOMINGO OLAVARRIA ,ZONA POSTAL 2003</t>
  </si>
  <si>
    <t>(0241) 8392873</t>
  </si>
  <si>
    <t>J-000255431</t>
  </si>
  <si>
    <t>MOLINOS NACIONALES, C.A</t>
  </si>
  <si>
    <t>CALLE LOS MOLINO, LA SORPRESA. PUERTO CABELLO, ESTADO CARABOBO</t>
  </si>
  <si>
    <t>J-30131018-7</t>
  </si>
  <si>
    <t>MONDELEZ VZ,C.A</t>
  </si>
  <si>
    <t>AV FRANCISCO DE MIRANDA EDIF SEGUROS VENEZUELA PISO 2 LOCAL 2 URB CAMPO ALEGRE CARACAS ( CHACAO ) MIRANDA ZONA POSTAL 1060</t>
  </si>
  <si>
    <t>(0241) 5133110</t>
  </si>
  <si>
    <t xml:space="preserve"> J-00012926-6 	</t>
  </si>
  <si>
    <t>NESTLE VENEZUELA CA</t>
  </si>
  <si>
    <t>(0412) 6979303</t>
  </si>
  <si>
    <t>J-08536074-3</t>
  </si>
  <si>
    <t>Oleaginosas Industriales Oleica, C.A ( OLEICA )</t>
  </si>
  <si>
    <t>Ctra via Guanare Local Nro S/N zona Parque Industrial los Llanos Araure Edo Portuguesa Ararure Portuguesa zona Postal 3303</t>
  </si>
  <si>
    <t>(0424) 3560032</t>
  </si>
  <si>
    <t>J-41045680-9</t>
  </si>
  <si>
    <t>PAPELES LUCIANOS C.A</t>
  </si>
  <si>
    <t>AV. LUIS CAMOES CC CENTRO COMERCIAL XPRESS NIVEL XPRESS OF PISO 11 OFICINA 11-1 SECTOR LA GUARITA CARACAS (PETARE) MIRANDA</t>
  </si>
  <si>
    <t>(0212) 0214210</t>
  </si>
  <si>
    <t>J-00028115-7</t>
  </si>
  <si>
    <t>PAPELES VENEZOLANOS, C.A. (PAVECA)</t>
  </si>
  <si>
    <t>Ctra Nacional Guacara – San Joaquín, Local Papeles Venezolanos Nro S/N Zona Industrial el Tigre Guacara Carabobo. Zona posta 2015</t>
  </si>
  <si>
    <t>(0245) 4003280</t>
  </si>
  <si>
    <t>J-07546182-7</t>
  </si>
  <si>
    <t>PLASTICOS DE EMPAQUES C.A</t>
  </si>
  <si>
    <t>URB INDUSTRIAL EL BOSQUE, CALLE GENERAL ARISMENDI, C/C AVDA. HANS NEUMANN, EDIF. PLÁSTICOS DE EMPAQUE, APARTADO POSTAL 80-85</t>
  </si>
  <si>
    <t>(0241) 5131232 (0241) 5121201</t>
  </si>
  <si>
    <t>J-000407479</t>
  </si>
  <si>
    <t>AV. PPAÑ LOCAL EDIF.ADMTIVO Y PLANTA URB.IND SANTA ROSALIA,CAGUA</t>
  </si>
  <si>
    <t>J-30059235-9</t>
  </si>
  <si>
    <t>QUIMICOLOR</t>
  </si>
  <si>
    <t>CALLE C LOCAL GALPONES NROS 32, 33 Y 34 ZONA INDUSTRIAL LA ROLANDERA VALENCIA CARABOBO ZONA POSTAL 2003</t>
  </si>
  <si>
    <t>(0241) 3003600</t>
  </si>
  <si>
    <t>AV.ARTON PHILLIPS, ZONA INDUSTRIAL, SAN VICENTE MARACAY, EDO. ARAGUA</t>
  </si>
  <si>
    <t>J-07527106-8</t>
  </si>
  <si>
    <t>SERVICIOS AVICOLAS, C.A (GRUPO LA CARIDAD)</t>
  </si>
  <si>
    <t>AV. 6TA. EDIF LA CARIDAD, PISO 4 OF 4 URB. LA SOLEDAD, MARACAY</t>
  </si>
  <si>
    <t>(0243) 2000100</t>
  </si>
  <si>
    <t>J-30873276-1</t>
  </si>
  <si>
    <t>SOLUCIONE SNUTRICIONALES NUTS C.A</t>
  </si>
  <si>
    <t>CALLE LAZO LOCAL NRO 128-01-17 ZONA INDUSTRIAL CAGUA EDO. ARAGUA</t>
  </si>
  <si>
    <t>G-20009820-1</t>
  </si>
  <si>
    <t>Venezolana del Vidrio C.A. ( VENVIDRIO )</t>
  </si>
  <si>
    <t>Av Final Boulevard Raul Leoni CC Plaza las Americas Nivel 16 Local V-63, V-64 y V-65 URB el Cafetal Caracas ( EL CAFETAL ) Miranda zona Postal 1061</t>
  </si>
  <si>
    <t>(0245) 3205585</t>
  </si>
  <si>
    <t>J-00038411-8</t>
  </si>
  <si>
    <t>VICSON, C.A</t>
  </si>
  <si>
    <t>CALLE PRIMERA LOCAL VICSON NRO S/N ZONA INDUSTRIAL SUR. VALENCIA CARABOBO ZONA POSTAL 2003</t>
  </si>
  <si>
    <t>(0241) 8139002</t>
  </si>
  <si>
    <t>CACIQUE MARACAY</t>
  </si>
  <si>
    <t>(0412) 6937216</t>
  </si>
  <si>
    <t>(0243) 2000121 / (0424)3423652</t>
  </si>
  <si>
    <t>Zona Industrial La Hamaca 2da. Trasversal galpón 160-4, Maracay – Estado Aragu</t>
  </si>
  <si>
    <t>Avenida Henry Ford, Zona Industrial Municipal Sur, Valencia 2003</t>
  </si>
  <si>
    <t>J-07589386-7</t>
  </si>
  <si>
    <t>ALBECA C.A.</t>
  </si>
  <si>
    <t xml:space="preserve">CALLE 106, VALENCIA 2003 CARABOBO </t>
  </si>
  <si>
    <t>J−00006273−0</t>
  </si>
  <si>
    <t>CENTRAL EL PALMAR S.A.</t>
  </si>
  <si>
    <t>CTRA NACIONAL ENCRUCIJADA  LOCAL NRO S/N ZONA SAN MATEO</t>
  </si>
  <si>
    <t>(0244) 5007200-4002787</t>
  </si>
  <si>
    <t>5 Week</t>
  </si>
  <si>
    <t>11 Week</t>
  </si>
  <si>
    <t>J-41243240-0</t>
  </si>
  <si>
    <t>Sector San Vicente, Edif. ANCA., Av Los Pioneros, Araure</t>
  </si>
  <si>
    <t>(0255) 6001800</t>
  </si>
  <si>
    <t>PROTINAL PROAGRO, C.A</t>
  </si>
  <si>
    <t>rolongación Av. Michelena, Av. Eugenio Mendoza, Valencia 2003, Carabobo</t>
  </si>
  <si>
    <t>0241-6138448</t>
  </si>
  <si>
    <t>Av. Las Delicias, Torre Banvenez 2, Piso 2-04, Centro, Maracay</t>
  </si>
  <si>
    <t>0424-3625566</t>
  </si>
  <si>
    <t>SINTHESIS, C.A</t>
  </si>
  <si>
    <t>Valencia 2003, Carabobo</t>
  </si>
  <si>
    <t>0241-8783882</t>
  </si>
  <si>
    <t>Fecha Recibe
Cotización</t>
  </si>
  <si>
    <t>Fecha de E.P</t>
  </si>
  <si>
    <t>Fecha de Envío
O.C</t>
  </si>
  <si>
    <t>Descripción del Producto</t>
  </si>
  <si>
    <t>Cantidad</t>
  </si>
  <si>
    <t>Costo Producto
Proveedor ($/Unid)</t>
  </si>
  <si>
    <t>Precio de Venta Cliente ($/Unid)</t>
  </si>
  <si>
    <t>Costo  Total Producto
Proveedor ($)</t>
  </si>
  <si>
    <t>Precio Total de Venta Cliente ($)</t>
  </si>
  <si>
    <t>Tasa Cotización
(BS.s)</t>
  </si>
  <si>
    <t>TRANSMISOR DE PRESION DANFOSS AKS33 060G2101</t>
  </si>
  <si>
    <t>BASE 5 SLOT IC693CPU313W</t>
  </si>
  <si>
    <t>FILTRO (CABLE FILTER) AKA211 084B2238 DANFOSS</t>
  </si>
  <si>
    <t>TRANSMISOR DE PRESION DANFOSS AKS33 060G2103</t>
  </si>
  <si>
    <t>VALVULA DE EXPANSION DANFOSS 067B3343</t>
  </si>
  <si>
    <t>BASE 10 SLOT IC693CHS391G (10 RANURAS)</t>
  </si>
  <si>
    <t>BATERIA PLC IC693ACC301 GE FANUC</t>
  </si>
  <si>
    <t>PLATAFORMA INTELIGENTE IC693PWR331</t>
  </si>
  <si>
    <t>CONTACTOR LC1D40B7 SCHNEIDER 40A 24V</t>
  </si>
  <si>
    <t>CONTACTOR LC1D80B7 SHNEIDER 80A 24V</t>
  </si>
  <si>
    <t>CONTACTOR LC1D40F7 SCHNEIDER 40A 110V</t>
  </si>
  <si>
    <t>FILTRO DE GASOIL PRIMARIO FF42000 CARCASA PLASTICO</t>
  </si>
  <si>
    <t>ELECTROVALVULAS FESTO 5 VIAS</t>
  </si>
  <si>
    <t>TRAMPA GRASA MEDIDAS 47X40X36</t>
  </si>
  <si>
    <t>GULF CREST 46 PARA TURBINAS (TAMBOR) 208L</t>
  </si>
  <si>
    <t>VASSALIT EP 2 PDVSA (PAILA)</t>
  </si>
  <si>
    <t>UPS APC 2200VA</t>
  </si>
  <si>
    <t>UPS APC 1500VA</t>
  </si>
  <si>
    <t>UPS APC 1000VA</t>
  </si>
  <si>
    <t>PROTECTORES DE CORRINTE APC</t>
  </si>
  <si>
    <t>MEMORIAS RAM 8GB</t>
  </si>
  <si>
    <t>CAUTIN DE SOLDADURA</t>
  </si>
  <si>
    <t>PROCESADOR CORE I7 4790 4TA GENERACIÓN INTEL</t>
  </si>
  <si>
    <t>PROCESADOR CORE I7 2600 3.4GHZ LGA 1155 4 NUCLEOS</t>
  </si>
  <si>
    <t>MOTORES DE PASO STEPSYN</t>
  </si>
  <si>
    <t>BARRA ESTATICA 870MM X 964MM</t>
  </si>
  <si>
    <t>TRANSFORMADOR DE BARRA ANTIESTATICA 115-120V</t>
  </si>
  <si>
    <t>FULLTECH UF-15PC23 VENTILADORES</t>
  </si>
  <si>
    <t>4088020-SIMCO ION R50 BLUE BAR 1560MM X1645MM</t>
  </si>
  <si>
    <t xml:space="preserve">4088009- SIMCO ION R50 BLUE BAR 735MM X 820MM </t>
  </si>
  <si>
    <t>CONTROLADOR DIGITAL HONEYWELL DC3200-CE-000R</t>
  </si>
  <si>
    <t>ANULADA</t>
  </si>
  <si>
    <t>TRANSFORMADOR NRO PARTE 1497-N27 A</t>
  </si>
  <si>
    <t>EMBUTIDOS ARICHUNA C.A</t>
  </si>
  <si>
    <t>GRASA ALIMENTICIA SKF LGFP2 1KG</t>
  </si>
  <si>
    <t>TRANSFORMADOR ALLEN BRADLEY 1497-N27 A DESCRIPCIÓ</t>
  </si>
  <si>
    <t>ELECTROVALVULA 358-015-02</t>
  </si>
  <si>
    <t>UNIDAD DE MANTENIMIENTO 1/4</t>
  </si>
  <si>
    <t>RACOR CURVO</t>
  </si>
  <si>
    <t xml:space="preserve">RACOR RECTO </t>
  </si>
  <si>
    <t xml:space="preserve">BOBINA PARA ELECTROVALVULA </t>
  </si>
  <si>
    <t>REGULADOR DE PRESION CON MANOMETRO FESTO</t>
  </si>
  <si>
    <t>MANGUERA 10MM NEUMATICA FESTO</t>
  </si>
  <si>
    <t>MANGUERA 12MM NEUMATICA FESTO</t>
  </si>
  <si>
    <t xml:space="preserve">MANGUERA 8MM NEUMATICA FESTO </t>
  </si>
  <si>
    <t xml:space="preserve">MANGUERA 6MM NEUMATICA FESTO </t>
  </si>
  <si>
    <t>VALVULA DE ESCAPE RAPIDO SEU 1/4 FESTO</t>
  </si>
  <si>
    <t>ESTOPERA 92X108X10 VITON 3909 V FORD</t>
  </si>
  <si>
    <t xml:space="preserve">PIÑON SENCILLO 35B 3/8"  VR </t>
  </si>
  <si>
    <t>PIÑON SENCILLO 35-B-12</t>
  </si>
  <si>
    <t>ROD. 6008- 2RS1 C3 SKF</t>
  </si>
  <si>
    <t>ROD. 6006-2RS-C3</t>
  </si>
  <si>
    <t>ROD. 6205-2RS1-C3 SKF</t>
  </si>
  <si>
    <t>ROD. 6204-2RSH-C3</t>
  </si>
  <si>
    <t>CAJA DE CADENA NUM 40 3.05MTS</t>
  </si>
  <si>
    <t>ROD. 6003-2RSH-C3 SKF</t>
  </si>
  <si>
    <t xml:space="preserve">ROD. 6001-2Z SKF </t>
  </si>
  <si>
    <t>BOQUIILLA N/P 322020 NORDSON</t>
  </si>
  <si>
    <t>BOQUILLA N/P 322416 NORDSON</t>
  </si>
  <si>
    <t>Danfoss USA</t>
  </si>
  <si>
    <t>148B5232 VALVULA DE CIERRE, SVAS 15</t>
  </si>
  <si>
    <t>En Espera</t>
  </si>
  <si>
    <t>Franchesca</t>
  </si>
  <si>
    <t>032F6216 VALVULA SELENOIDE, EVRAT 15</t>
  </si>
  <si>
    <t>148F8002 VALVULA DE SEGURIDAD PARA AMONIACO 1/2"x1/2" 16KG/CM2</t>
  </si>
  <si>
    <t>148F8001 VALVULA DE SEGURIDAD PARA AMONIACO 1/2"x3/4" 250PSIG</t>
  </si>
  <si>
    <t>148F8016 VALVULA DE SEGURIDAD PARA AMONIACO 1 1/4x2" 250PSIG</t>
  </si>
  <si>
    <t>FILTRO DE AIRE AT223226</t>
  </si>
  <si>
    <t>FILTRO DE COMBUSTIBLE RE62418</t>
  </si>
  <si>
    <t>FILTRO DE COMBUSTIBLE RE62419</t>
  </si>
  <si>
    <t>FILTRO DE AIRE AT171853</t>
  </si>
  <si>
    <t>FILTRO DE AIRE AT300487</t>
  </si>
  <si>
    <t>FILTRO DE COMBUSTIBLE AR50041</t>
  </si>
  <si>
    <t>027x0183 VALVULA DE RETENCION 3/4 "</t>
  </si>
  <si>
    <t>PERDIDO/ CLIENTE TENIA EN STOCK</t>
  </si>
  <si>
    <t>027x0184 VALVULA DE RETENCION 1"</t>
  </si>
  <si>
    <t>027x0188 VALVULA DE RETENCION 1 1/2 "</t>
  </si>
  <si>
    <t>027x0189 VALVULA DE RETENCION 2"</t>
  </si>
  <si>
    <t>027x0191 VALVULA DE RETENCION 2 1/2 "</t>
  </si>
  <si>
    <t>FILTRO DE GAS-OIL NPR  PRIMARIO (2008)</t>
  </si>
  <si>
    <t>FILTRO DE ACEITE CAMION JAC HFC1061K</t>
  </si>
  <si>
    <t>FILTRO DE AIRE TOYOTA HILUX 2007</t>
  </si>
  <si>
    <t>FILTRO DE GASOLINA CHEVY CONFORT</t>
  </si>
  <si>
    <t>FILTRO DE GAS-OIL NPR  SECUNDARIO (2008)</t>
  </si>
  <si>
    <t>FILTRO ACEITE SILVERADO 2015</t>
  </si>
  <si>
    <t>ACEITE LIQUIDA PARAFINA GRADO ALIMENTICIO</t>
  </si>
  <si>
    <t>20714-1</t>
  </si>
  <si>
    <t>(148G3432)GPLX 100 Spare part complete gasket set</t>
  </si>
  <si>
    <t>REALIZO UNA COTIZACION NUEVA 20714</t>
  </si>
  <si>
    <t>(148G3428)GPLX 100 - Repair Kit - Additional</t>
  </si>
  <si>
    <t>(148G0101)GPLX 100 - Repair Kit - Additional</t>
  </si>
  <si>
    <t>20716-1</t>
  </si>
  <si>
    <t>SAVIRAM C.A</t>
  </si>
  <si>
    <t>RACOR EN L QSL-1/4-8 FESTO</t>
  </si>
  <si>
    <t>REALIZO UNA COTIZACION NUEVA 20716</t>
  </si>
  <si>
    <t>RACOR RECTO QS-1/4-6 FESTO</t>
  </si>
  <si>
    <t>VALVULA DE CIERRE HE-2-QS-8 FESTO</t>
  </si>
  <si>
    <t>ELECTROVALVULA MFH-3-1/4 FESTO</t>
  </si>
  <si>
    <t>KIT PARA VALVULA 5 VIAS 1/4" FESTO</t>
  </si>
  <si>
    <t>RACOR EN L QSL-1/4-6 FESTO</t>
  </si>
  <si>
    <t>RACOR QST-3/8-12 FESTO</t>
  </si>
  <si>
    <t>RACOR UNION RAPIDA QSY-8 FESTO</t>
  </si>
  <si>
    <t>ELECTROVALVULA MFH-5-1/4- FESTO</t>
  </si>
  <si>
    <t>RACOR RECTO QS-1/8-8 FESTO</t>
  </si>
  <si>
    <t>RACOR RECTO QS-1/4-8 FESTO</t>
  </si>
  <si>
    <t>BOBINA MAGNETICA MSFW-110-50/60 FESTO</t>
  </si>
  <si>
    <t>METROS TUBO DE PLASTICO PUN-H8X1,25-BL</t>
  </si>
  <si>
    <t>RACOR EN L QSL-1/8-4 FESTO</t>
  </si>
  <si>
    <t>SILENCIADOR U-1/4 FESTO</t>
  </si>
  <si>
    <t>20715-1</t>
  </si>
  <si>
    <t>ROD. 12X32X10 6201-2Z SKF</t>
  </si>
  <si>
    <t>REALIZO UNA COTIZACION NUEVA 20715</t>
  </si>
  <si>
    <t>ROD. 25X52X15 6205-2Z/C3 SKF</t>
  </si>
  <si>
    <t>ROD. 17X35X10 62003-2Z/C3 SKF</t>
  </si>
  <si>
    <t>ROD. 12X32X10 6201-2RSH/C3=BB1-4827 A SKF</t>
  </si>
  <si>
    <t>ROD. 35X80X21 6307-2RS1/C3 SKF</t>
  </si>
  <si>
    <t>ROD. 35X80X21 6307-2Z/C3 SKF</t>
  </si>
  <si>
    <t>ROD. 65X100X18 6013-2RS1/C3 SKF</t>
  </si>
  <si>
    <t>ROD. 1/2"X32X10 6201-2RS1 1/2" = 6201-08-2RZ SB</t>
  </si>
  <si>
    <t>ROD. 20X47X14 6204-2RSHNRC3 SKF</t>
  </si>
  <si>
    <t>ROD. 20X42X12 6004-2Z/C3 SKF</t>
  </si>
  <si>
    <t>ROD. 17X35X10 6003-2RSH/C3=BB1- 4825 A SKF</t>
  </si>
  <si>
    <t>ROD. 25X47X12 6005-2RSH/C3 SKF</t>
  </si>
  <si>
    <t>ROD. 45X75X16 6009-2RS1/C3 SKF</t>
  </si>
  <si>
    <t>20716-2</t>
  </si>
  <si>
    <t>WIX 33386-FILTRO DE GAS-OIL SECUNDARIO NPR</t>
  </si>
  <si>
    <t>WIX I-51792-FILTRO DE ACEITE CAT 1R0716</t>
  </si>
  <si>
    <t>WIX I-33528-FILTRO COMBUSTIBLE CAT 1R0750</t>
  </si>
  <si>
    <t>WIX 51791-FILTRO COMBUSTIBLE CAT 1R0750</t>
  </si>
  <si>
    <t>WIX 51806-FILTRO ACEITE PERKINS 901102</t>
  </si>
  <si>
    <t>WIX 33393-FILTRO DE GAS-OIL PRIMARIO NPR</t>
  </si>
  <si>
    <t>WIX 951010-FILTRO ACEITE JAC HFC1061K</t>
  </si>
  <si>
    <t>9251706 METALWORK RIC. FP 100 1/4 3/8 20</t>
  </si>
  <si>
    <t>9251711 METALWORK KIT RIC.FP DP.100 1/4 3/8</t>
  </si>
  <si>
    <t>9451706 METALWORK RIC. FP 300 1/2 3/4 20</t>
  </si>
  <si>
    <t>9450103 METALWORK RIC. FP 1/2 4</t>
  </si>
  <si>
    <t>162676 FESTO LFMAP-D-MAXI LOTE DE 2 PIEZAS</t>
  </si>
  <si>
    <t>162679 FESTO LFMBP-D-MAXI LOTE DE 2 PIEZAS</t>
  </si>
  <si>
    <t>BOMBA DE VACIO MODELO GNSP-40B</t>
  </si>
  <si>
    <t>60 DIAS</t>
  </si>
  <si>
    <t>47057 FILTRO DE AIRE TOYOTA HILUX 2007</t>
  </si>
  <si>
    <t>QS186E Banner Sensor Fotoelectrico</t>
  </si>
  <si>
    <t>QS18VP6R Banner Sensor Folectrico</t>
  </si>
  <si>
    <t>SOEG-RT-M18W-PS-S-2L FESTO Sensor Fotoelectrico</t>
  </si>
  <si>
    <t>ACEITE GULF</t>
  </si>
  <si>
    <t>PROPILENGLICOL USP TAMBOR 215KG</t>
  </si>
  <si>
    <t>148B5010 DANFOSS Valvula de Cierre para Amoniaco 1/4"</t>
  </si>
  <si>
    <t>Valvula de Globo 3/4" NPT para Amoniaco HANSEN</t>
  </si>
  <si>
    <t>Valvula Compuerta 4" Rf Bridada A/C 150 LB 8 Huecos</t>
  </si>
  <si>
    <t>(CC6184471) 1794-OA16 ALLEN BRADLEY MODULO DE SALIDA</t>
  </si>
  <si>
    <t>7- 12 Dias</t>
  </si>
  <si>
    <t>GULF CROWN EP GRASA 180KG TAMBOR</t>
  </si>
  <si>
    <t>RELE DE POTENCIA MODELO PA1AS-24 VDC</t>
  </si>
  <si>
    <t>SENSOR PROX. INDUCT. 12-24VDC 3 HILOS MARCA AUTONICS</t>
  </si>
  <si>
    <t>SENSOR PROX. INDUCT. 12-24VDC 3 HILOS MARCA SCHNEIDER</t>
  </si>
  <si>
    <t>RELE SOLIDO TSR-40DA MARCA FOTEK</t>
  </si>
  <si>
    <t>VALVULA REGULADORA DE PRESIÓN A4AB PARKER</t>
  </si>
  <si>
    <t>SKF CHUMACERA SNL 517</t>
  </si>
  <si>
    <t>PERDIDA POR TIEMPO DE ENTREGA</t>
  </si>
  <si>
    <t>REXNORD OMEGA E50 ELEMENTO FELXIBLE 730045</t>
  </si>
  <si>
    <t>ACEITE GULF SUPER DUTY MO SAE 50 DIESEL TAMBOR 208L</t>
  </si>
  <si>
    <t>10-11 MARZO</t>
  </si>
  <si>
    <t>ACEITE GULF FIDELITY ISO 100 COMPRESOSES DE AIRE TAMBOR 208L</t>
  </si>
  <si>
    <t>ACEITE GULF HARMONY HIDRAULICO AW 100 TAMBOR DE 208L</t>
  </si>
  <si>
    <t>ACEITE GULF HARMONY HIDRAULICO AW 46 TAMBOR 208L</t>
  </si>
  <si>
    <t>FESTO PISTOLA ECONOMIZADORA DE AIRE LSP - 1/4 - D # 35528</t>
  </si>
  <si>
    <t>NBR RODAMIENTO 1633-2RS</t>
  </si>
  <si>
    <t>EN ESPERA DE CODIGO</t>
  </si>
  <si>
    <t>INA RODAMIENTOS CILINDRICOS RT606</t>
  </si>
  <si>
    <t>ACEITE GULF ESKIMO REFRIGERACION 68 MINERAL TB 208 L</t>
  </si>
  <si>
    <t>SIEMENS VARIADOR DE FRECUENCIA BT300-050X4-01X 480V, 50HP 37 KW</t>
  </si>
  <si>
    <t>Internacional de Desarrollo, S.A</t>
  </si>
  <si>
    <t>ACEITE GULF ESTIMO REFRIGERACION 68 SINTETICO TAMBOR 208L</t>
  </si>
  <si>
    <t>ACEITE GULF HARMONY AW 68 TAMBOR 208 LITROS</t>
  </si>
  <si>
    <t>PERDIDO/COMPRARON PAILA</t>
  </si>
  <si>
    <t xml:space="preserve">TELEMECANIQUE REFLECTOR XUZC80 DIAMETRO 80MM </t>
  </si>
  <si>
    <t>FRESH JABONES EN PASTILLA 110 GR</t>
  </si>
  <si>
    <t>6500 JABONES INICIALMENTE SE VENDIERON 5068</t>
  </si>
  <si>
    <t>SIN ORDEN / ACEITE GULF</t>
  </si>
  <si>
    <t>ACEITE GULF SAE 50</t>
  </si>
  <si>
    <t>SKF RODAMIENTO 6303-2RSR</t>
  </si>
  <si>
    <t>SKF RODAMIENTO 63007-2RS1</t>
  </si>
  <si>
    <t>ZKL RODAMIENTO 7206</t>
  </si>
  <si>
    <t>AMA DE CASA TOALLA TRES 80 BAÑO (120X68CM)</t>
  </si>
  <si>
    <t>Festo Electro Valvula JMFH-5-1/4-24VDC</t>
  </si>
  <si>
    <t>Allen Bradley Cable 889P-F4AB-2</t>
  </si>
  <si>
    <t>Sew Eurodrive Motoreductor MGFAS2-DSM | 0902077329</t>
  </si>
  <si>
    <t>Sew Eurodrive Motoreductor MGFAS2-DSM | 0902243404</t>
  </si>
  <si>
    <t>Sew Eurodrive Motoreductor MGFAS2-DSM | 0902077155</t>
  </si>
  <si>
    <t xml:space="preserve">Allen Bradley Variador De Frecuencia 22B-D2P3N104 </t>
  </si>
  <si>
    <t>Allen Bradley Variador De Frecuencia 22B-D6P0N104</t>
  </si>
  <si>
    <t>Siemiens Fuente De Poder 6EP1333-2AA01</t>
  </si>
  <si>
    <t>Festo Cilindro DNC-50-50-PPV-A #163371</t>
  </si>
  <si>
    <t>Festo Válvula De Estrangulación GRLA-1/4-B #151172</t>
  </si>
  <si>
    <t>Festo Racor Roscado QS-1/4-8 #153005</t>
  </si>
  <si>
    <t xml:space="preserve">Festo Manguera PUN-6X1-GN #178425 </t>
  </si>
  <si>
    <t>Festo Cilindro DNC-40-100-PPV-A #163341</t>
  </si>
  <si>
    <t>Festo Horquilla SG-M12 #2675</t>
  </si>
  <si>
    <t>IFM SENSOR DE PRESION PI2098 PI-25BRES30-MFRKG/US/</t>
  </si>
  <si>
    <t>Omron Inverter CIMR-J7AZ44P00 4KW 9,2°</t>
  </si>
  <si>
    <t>Kit De Cartuchos Trasero Vickers 416427</t>
  </si>
  <si>
    <t>Festo Manguera PUN-6x1-BL #159664</t>
  </si>
  <si>
    <t>Allen Bradley Photoswitch 42SRU-6205</t>
  </si>
  <si>
    <t>Festo Cilindro DNC-32-100-PPV #163323</t>
  </si>
  <si>
    <t>Festo Cilindro ADVU-50-30-P-A #156554</t>
  </si>
  <si>
    <t>Festo Cilindro DNC-50-100-PPV #163387</t>
  </si>
  <si>
    <t>Festo Manguera PUN-10X1,5-BL #159668</t>
  </si>
  <si>
    <t>SKF Rodamientos 6001</t>
  </si>
  <si>
    <t>Festo Cilindro ADN-25-18-IPA-20K8 Part # 536250</t>
  </si>
  <si>
    <t>Festo Electroválvula MFH-5-1/4 Part # 6211 Con Bobina</t>
  </si>
  <si>
    <t>Sew Eurodrive Módulo De Rectificador De Moto 8253854</t>
  </si>
  <si>
    <t>Danfoss Variador 131B1569 VLT® AutomationDrive FC 300</t>
  </si>
  <si>
    <t>Vaccon Bomba de transferencia DF 5-6-FD-ST8B C/Silenc</t>
  </si>
  <si>
    <t>Vaccon Silenciador ST8B Generador DF 5-6</t>
  </si>
  <si>
    <t>Festo Manguera PUN-H-16X2,5-BL #197388</t>
  </si>
  <si>
    <t>Scholle Fuse TRM-10 P00049 ( Paquete 10 Unidades )</t>
  </si>
  <si>
    <t>Scholle Epoxy Glue P04599 ( Paquete 10 Unidades )</t>
  </si>
  <si>
    <t>Rodavigo Chumacera Inoxidable UCF-205</t>
  </si>
  <si>
    <t>UNION DEUBLIN 255-000-020 GIRATORIO</t>
  </si>
  <si>
    <t>DEUBLIN 155-000-001 ROTATORIO DE LA UNION, 1/2" NPT</t>
  </si>
  <si>
    <t>VARIADOR ALTIVAR 71 ATV7 1HU40N4Z 5HP</t>
  </si>
  <si>
    <t>CARTUCHO DE BAT DE RECAMBIO N° 140 DE APC RBC140</t>
  </si>
  <si>
    <t>PAQUETE DE BATERIAS PARA SMART-UPS NUMERO DE PARTE APC SRT192BP2</t>
  </si>
  <si>
    <t>FRENO DE MOTOR RECTIFICADOR DE MEDIA ONDA MODULO DE FRENO NB710210013 U= 500V</t>
  </si>
  <si>
    <t>JONNESWAY M11045 520 MARTILLO DE GOLPE MUERTO</t>
  </si>
  <si>
    <t>BOMBA CORNELL MODEL 2.5 CBH 10: 3-4</t>
  </si>
  <si>
    <t>UNIDAD DE ACTUADOR ELECTRICO SHNEIDER CP-9302-702</t>
  </si>
  <si>
    <t>ABB BOARD TYPE AGDR CODE 68436770A</t>
  </si>
  <si>
    <t>SELLO DE SALIDA GARLOCK 246310 DODGE TD6A-TDT-TXT-SCXT6</t>
  </si>
  <si>
    <t>Dodge F4BSC204/F4B-SC-204 124067</t>
  </si>
  <si>
    <t>PERNO 2" 4 RODAMIENTO ABRIDADO, UCF211-32</t>
  </si>
  <si>
    <t>GRUNDFOS 96511841 KIT, SH. SELLO CR/ I/N 10/15/20 HUUV</t>
  </si>
  <si>
    <t>TELEMECANIQUE SENSORES POR SCHNEIDER ELECTRICO XCSA 701</t>
  </si>
  <si>
    <t>CONTACTOR BLOQUE DE CONTACTO AUXILIAR 100-DS2-11</t>
  </si>
  <si>
    <t>12V BOMBA DE COMBUSTIBLE PARA 119225-52102</t>
  </si>
  <si>
    <t>SOLENOIDE DE PARADA 119934-01800</t>
  </si>
  <si>
    <t>SELLO DE ACEITE 119934-01800</t>
  </si>
  <si>
    <t>COJINETE DE CIGUENAL 129001-02931</t>
  </si>
  <si>
    <t>PISTON Y ANILLOS STD 129005-22080</t>
  </si>
  <si>
    <t>JUEGO DE ANILLOS DE PISTON STD 129005-22500</t>
  </si>
  <si>
    <t>JUEGO DE ANILLOS 0,25 129005-22500</t>
  </si>
  <si>
    <t>TRASERA DEL TK486 SELLO DEL CIGÜEÑAL PARA YANMAR 129120-01780</t>
  </si>
  <si>
    <t>COJINETE DE APOYO 1291 50-02931</t>
  </si>
  <si>
    <t>COJINETE DE BIELA 129150-23601</t>
  </si>
  <si>
    <t>EMPAQUETADURA CULATA 129407-01340</t>
  </si>
  <si>
    <t>YANMAR 4TNV84 4TNV88 CULATA 129601-11700</t>
  </si>
  <si>
    <t>CIGUENAL CJ 129 65721002</t>
  </si>
  <si>
    <t>ALLEN BRADLEY 100-DMD02 INTERLOCK</t>
  </si>
  <si>
    <t>TARJETA DE ENCODER AB-MODELO 20-750-ENC-1</t>
  </si>
  <si>
    <t>WIX 46882 FILTRO DE AIRE</t>
  </si>
  <si>
    <t>Allen Bradley Micrologix 1762-IQ16/B 24VDC módulo de entrada</t>
  </si>
  <si>
    <t>Allen-Bradley 1762-OB16 Micrologix 16 Punto D/O</t>
  </si>
  <si>
    <t>TELEMECANIQUE BLOQUE DE CONTACTO LA1-D11</t>
  </si>
  <si>
    <t>SHNEIDER ELECTRICO-TELEMECANIQUE-XS1M18P340-SENSOR INDUCTIVO</t>
  </si>
  <si>
    <t>SHNEIDER ELECTRIC XCK-M115 INTERRUPTOR DE LIMITE</t>
  </si>
  <si>
    <t>VCF9 MICRO SWITCH 15A 250V AC</t>
  </si>
  <si>
    <t>MERLIN GERIN NS160N 160A 750V NSMP</t>
  </si>
  <si>
    <t>GE 30 Amp Interruptor Thqc 32030 240V 3 polos</t>
  </si>
  <si>
    <t>Merlin Gerin NS100 H Interruptor de circuito (#6682)</t>
  </si>
  <si>
    <t>Festo 159587 LOE-1/2-D - Midi</t>
  </si>
  <si>
    <t>Fluke 324 Plus Professional AC/DC 600 voltios Medidor Digital Pinza</t>
  </si>
  <si>
    <t xml:space="preserve">Schneider lc1d18m7c Bobina Contactor 3 Polos 220vac </t>
  </si>
  <si>
    <t>Bobina Contactor Schneider LC1D25M7 220VAC 50/60Hz</t>
  </si>
  <si>
    <t>LC1D09M7 Contactor 9A 3 polos 1NO+1NC Bobina 220VAC</t>
  </si>
  <si>
    <t>LC1D5011-M7 Control Del Motor Bobina Telemecanique Contactor</t>
  </si>
  <si>
    <t>MERLIN GERIN/por Schneider NS80H-MA Disyuntor 80AMP 3P</t>
  </si>
  <si>
    <t>TRANSDUCTOR DE PRESION GEFRAN MODELO M22-6-M-B05C-1-4-D</t>
  </si>
  <si>
    <t>BASE RELE 8 PINES ALLEN-BRADLE 700 HN123</t>
  </si>
  <si>
    <t>RELE 8A ESTILO PIN ALLEN BRADLE 700 HP 32Z24</t>
  </si>
  <si>
    <t xml:space="preserve">FESTO 159588 UNIDAD DE  FRC -3/8 MIDI </t>
  </si>
  <si>
    <t>RELE ESTADO SOLIDO TB48A50 OPTEC INPUT 4-32 VDC OUTPUT 50ª-600VAC</t>
  </si>
  <si>
    <t>SINAMICS POWER MODULE 340 SIEMENS IP 6SL3210-1SE13-1UA0</t>
  </si>
  <si>
    <t>SCHNEIDER TXS PREMIUM TSXDEY 16A4 MODULO DE ENTRADA</t>
  </si>
  <si>
    <t>MODULO SALIDA TSX DSY16R5</t>
  </si>
  <si>
    <t>RODAMIENTO UN 2205 SKF</t>
  </si>
  <si>
    <t>AGROPECUARIA FUERZAS INTEGRADAS C.A</t>
  </si>
  <si>
    <t>LC1D32M7C SCHNEIDER CONTACTOR CON BOBINA 220VAC</t>
  </si>
  <si>
    <t>SCHNEIDER IC 1D18M7C BOBINA CONTACTOR 3 POLOS 220VAC</t>
  </si>
  <si>
    <t>VALVULA DE SOLENOIDE EV225B DANFOSS 032U3804 29 220V BOBINA 1/2"</t>
  </si>
  <si>
    <t>SELECTOR DE 2 POSICIONES, 22MM XB4BD21</t>
  </si>
  <si>
    <t>SCHEIDER ELECTRICO XB4BD33 INTERRUPTOR SELECTOR DE 3 POSICIONES</t>
  </si>
  <si>
    <t>VERDE 22MM 12V LED LUZ INDICADORA PILOTO INDUSTRIALESAD16-22DS</t>
  </si>
  <si>
    <t>ROJO LED 22MM INDICADOR LAMPARA DE LUZ DE SEÑAL AD-22DS</t>
  </si>
  <si>
    <t>TERMICO LRD22 SCHEIDER</t>
  </si>
  <si>
    <t>TERMICO LRD10 SCHNEIDER</t>
  </si>
  <si>
    <t>RELE TEMPORIZADOR RE17RLMU SCHNEIDER</t>
  </si>
  <si>
    <t>ADAPTADOR POINT I/O PARA ETHERNET MODELO 1734-AENT A-B</t>
  </si>
  <si>
    <t>SELLO MECANICO DE 1 3/8 TIPO: 21 PARA AGUA MARCA SEALCO C.C.N</t>
  </si>
  <si>
    <t>S.M DE 1 3/8 TIPO: 21 PARA QUIMICO MARCA SEALCO S.S.V</t>
  </si>
  <si>
    <t xml:space="preserve">LRD3363 sobrecarga térmica Relé 63-80 Amp. 50/60 Hz </t>
  </si>
  <si>
    <t>Schneider DISYUNTOR NS160N 3P MA150</t>
  </si>
  <si>
    <t>Telemecanique LA2D22 nsfp</t>
  </si>
  <si>
    <t>CE390A/90A Tóner para HP LaserJet Enterprise 600 M603N</t>
  </si>
  <si>
    <t>HP 78A CE278A Sellado de Tóner Negro Cartucho de impresión</t>
  </si>
  <si>
    <t>HP 05A CE505A LaserJet Cartucho De Tóner Negro</t>
  </si>
  <si>
    <t>UPS THOR 10TOMAS 2200CA 1200W LCD THOR-UL2200</t>
  </si>
  <si>
    <t>3 - 5 DIAS</t>
  </si>
  <si>
    <t>BOMBA VIKING PUMP, INC MODELO LL124A</t>
  </si>
  <si>
    <t>FUENTE FLEX I/O MARCA ALLEN BRADLEY MODELO 1794 –PS13</t>
  </si>
  <si>
    <t>Filtro Combustible Baldwin PF10</t>
  </si>
  <si>
    <t>8446449, Ingersoll Rand, PROBE EXCHANGER TEMPERATURE</t>
  </si>
  <si>
    <t>38052908 Ingersoll Rand Temperature 6Ft Probe</t>
  </si>
  <si>
    <t>38052403 Ingersoll Rand 0-500 Psia Transducer</t>
  </si>
  <si>
    <t>38052395, Ingersoll Rand, TRANSDUCER, REFRIGERANT SUCTION PRESSURE</t>
  </si>
  <si>
    <t>Válvula Asco solenoide de vapor y agua caliente 1/2 pulgadas</t>
  </si>
  <si>
    <t>Interruptor de límite de Seguridad Telemecanique XCSA 701</t>
  </si>
  <si>
    <t>Conector de cable Bryant CS6364-N 50A 125/250 voltios 3 polos 4</t>
  </si>
  <si>
    <t>Bryant 71430NC bloqueo Conector 30A-125/250V 3 polos 4 Cables</t>
  </si>
  <si>
    <t>Economaster EM3730 motor del ventilador, 1/2 HP, 1075 Rpm</t>
  </si>
  <si>
    <t>Jonnesway M11045 520 Martillo de golpe muerto</t>
  </si>
  <si>
    <t>39797428 TARJETA INTELIGENTE ELECTRONICA INGERSOLL-RAND</t>
  </si>
  <si>
    <t>PR18-8DP SENSOR INDUCTIVO M18 SALIENTE PNP NO 12-30 V VDC 3 HILO</t>
  </si>
  <si>
    <t>CONTACTOR SOBRE CARGA 7-10 LRD 14</t>
  </si>
  <si>
    <t>CONTACTOR LC1D80F7 110V 60H</t>
  </si>
  <si>
    <t>DIELECTRICO PARA TABLERO ELECTRICO TB 270 KG</t>
  </si>
  <si>
    <t xml:space="preserve">PULSADOR TELEMECANIQUE XB2-BA31 </t>
  </si>
  <si>
    <t>BLOQUE TELEMECANIQUE ZEN-L1111</t>
  </si>
  <si>
    <t>BLOQUE CONTACTO TELEMECANIQUE XEN-L1111</t>
  </si>
  <si>
    <t xml:space="preserve">GUARDAMOTOR SIEMENS 3RV1031-4EA10 22-3 </t>
  </si>
  <si>
    <t>CARGADOR COMPACT 24V 5A DSE9255</t>
  </si>
  <si>
    <t>PUSADOR XAC-A2713</t>
  </si>
  <si>
    <t>BLOQUE CONTAC TELEMECANIQUE ZB2-BE101</t>
  </si>
  <si>
    <t>BLOQUE CONTAC TELEMECANIQUE ZB2-BE102</t>
  </si>
  <si>
    <t>ASSEMBLY 4HF1 NPR 2004 MARCA ISUZU</t>
  </si>
  <si>
    <t>ASSEMBLY 4JB1 NKR 2012 MARCA ISUZU</t>
  </si>
  <si>
    <t>Parker - Refrigerating: S4A250YF32B2XSN, 1", S4A, 1-1/4" FPT, 120R ST</t>
  </si>
  <si>
    <t>2 1/2" Ammonia Gauge, -30 to 300 psi</t>
  </si>
  <si>
    <t xml:space="preserve">IRP 4 Liquid Filled Ammonia Gauge -30 To 300 1/4 Bottom Connection </t>
  </si>
  <si>
    <t>PRESOSTATO HONEYWELL MODELO L404F1102</t>
  </si>
  <si>
    <t>PANEL CONTROL SINCR. 5510 234755</t>
  </si>
  <si>
    <t>D&amp;D PowerDrive Cinturón V A83 o 4L850 1/2 X 85</t>
  </si>
  <si>
    <t>D&amp;D PowerDrive Cinturón V B63 o 5L660 5/8 X 66in</t>
  </si>
  <si>
    <t>VALVULA MFH-5-1/4 6211</t>
  </si>
  <si>
    <t>VALVULA REGULADORA 1 1/4" A4AK PARKER N:A406A320B5S32X0XNX</t>
  </si>
  <si>
    <t>Bomba de agua con impulsor periférico 1/2 HP Marca Truper</t>
  </si>
  <si>
    <t xml:space="preserve">38054185 Ingersoll Rand CONTROLLER PROGAM.LOGIC </t>
  </si>
  <si>
    <t>BOMBA VIKING HL32 CON VALVULA DE ALIVIO 4-1412-1111-522</t>
  </si>
  <si>
    <t>VARIADOR DE FRECUENCIA SCHNEIDER 10HP ATV320U75N4B</t>
  </si>
  <si>
    <t>RODAMIENTO SKF 3313</t>
  </si>
  <si>
    <t xml:space="preserve">6 DÍAS MIAMI </t>
  </si>
  <si>
    <t>RODAMIENTO SKF 4208</t>
  </si>
  <si>
    <t xml:space="preserve">3DÍAS MIAMI </t>
  </si>
  <si>
    <t>RODAMIENTO SKF 7208</t>
  </si>
  <si>
    <t>RODAMIENTO SKF 6212</t>
  </si>
  <si>
    <t>RODAMIENTO SKF 6203</t>
  </si>
  <si>
    <t>RELE PROTECTOR DE SECUENCIA DE FASE SIEMENS 3UG4513-1BR20</t>
  </si>
  <si>
    <t>LAMINA FIBRO-CEMENTO 2.44X1.22 ESPESOR 11mm</t>
  </si>
  <si>
    <t>BOBINA FESTO 110V MAGNETICA MSFW-110-50 6720</t>
  </si>
  <si>
    <t xml:space="preserve">RACOR FESTO RAPIDO T TIPO QST -6 </t>
  </si>
  <si>
    <t>MANGUERA FESTO POLIURETANO</t>
  </si>
  <si>
    <t>RELE TERMICO SCHNEIDER DE 2.5 A 4 A. LRD08</t>
  </si>
  <si>
    <t>RELE TERMICO SCHNEIDER DE 16 A 24 A. LRD22</t>
  </si>
  <si>
    <t>PROTECTOR TRIFASICO EXCELINE 440V GST-R440P</t>
  </si>
  <si>
    <t>VARIADOR DE FRECUENCIA SEW MOVILTRAC LTE B MCLTEB0055503400</t>
  </si>
  <si>
    <t>DIAFRAGMA P/ BOMBA YAMADA NRO. PART 771702</t>
  </si>
  <si>
    <t>TAM GULF SUPER DUTY MO 50</t>
  </si>
  <si>
    <t>ELECTROVALVULAS FESTO MODELO: 10410</t>
  </si>
  <si>
    <t>BOBINA FESTO MODELO: 4540</t>
  </si>
  <si>
    <t>MANGUERA FESTO FLEX 12MM POLIURETANO</t>
  </si>
  <si>
    <t>MANGUERA FESTO PU -10 POLIURETANO</t>
  </si>
  <si>
    <t>MANGERA MULTIUSO ROJA NEGRA 1/2 ALTA PRESION 300 PSI</t>
  </si>
  <si>
    <t>CONECTOR NPT 1/2x3/4 " MACHO C/ FERRUL 3/4 1 Y 2 MAYAS</t>
  </si>
  <si>
    <t>CONTACTOR HARTLAND CONTROL 2 POLOS 50 amp. BOBINA 220V</t>
  </si>
  <si>
    <t>CONTACTOR SCHNEIDER LC1D32M7</t>
  </si>
  <si>
    <t>CONTACTOR SCHNEIDER LC1D50AM7</t>
  </si>
  <si>
    <t>PAILA GRASA GRADO ALIMENTICIO VERKOL</t>
  </si>
  <si>
    <t>VALVULA SYRACO 2" HIERRO FUNDIDO</t>
  </si>
  <si>
    <t>PRENSO ESTOPA PG 1 6</t>
  </si>
  <si>
    <r>
      <t xml:space="preserve">TERMICO SCHNEIDER LUCA 05B DE 1.25 A 5 AMP. </t>
    </r>
    <r>
      <rPr>
        <b/>
        <sz val="11"/>
        <color theme="1"/>
        <rFont val="Calibri"/>
        <family val="2"/>
        <scheme val="minor"/>
      </rPr>
      <t>(LUCA05B)</t>
    </r>
  </si>
  <si>
    <t>TERMICO SCHNEIDER LUCA 12B DE 3 A 12AMP. (LUCA12B)</t>
  </si>
  <si>
    <t>TERMICO TELEMANIQUE LUCA 32B DE 8 A 32 AMP. (LUCA32BL)</t>
  </si>
  <si>
    <t>TERMICO SCHNEIDER DE 4 A 6AMP (LRD10)</t>
  </si>
  <si>
    <t>GUARDAMOTOR SCHNEIDER DE 24 A 32 AMP. (GV2ME32)</t>
  </si>
  <si>
    <t>GUARDAMOTOR SCHNEIDER DE 20 A 25 AMP. (GV2ME22)</t>
  </si>
  <si>
    <t>CONTACTOR SCHNEIDER (LC1D18B7)</t>
  </si>
  <si>
    <t>CONTACTOR SCHNEIDER (LC1D32B7)</t>
  </si>
  <si>
    <t>CONTACTOR SCHNEIDER (LC1D12B7)</t>
  </si>
  <si>
    <t>CONTACTOR SCHNEIDER (LC1D25B7)</t>
  </si>
  <si>
    <t>SELECTOR 2 POSICIONES SCHNEIDER (XB4BD21)</t>
  </si>
  <si>
    <t xml:space="preserve">POLEA TIPO B. 3 CANALES, 10 PULGADAS HIERRO </t>
  </si>
  <si>
    <t>IMPULSOR PARA BOMBA MARDAL MAX 300</t>
  </si>
  <si>
    <t>BOMBA MARDALL MAX 2HP</t>
  </si>
  <si>
    <t>BOMBA BOMBAGUA MODELO  LEO 2HP</t>
  </si>
  <si>
    <t>ELECTROVALVULA RAIN BIRD100-HV24 1"</t>
  </si>
  <si>
    <t>VARIADOR DANFOSS N.P 132F0022</t>
  </si>
  <si>
    <t>VARIADOR DANFOSS N.P 132F0020</t>
  </si>
  <si>
    <t>RODAMIENTOS SKF 6300</t>
  </si>
  <si>
    <t>PAILA DE GRASA GRADO ALIMENTICIO VERKOOL WR-2</t>
  </si>
  <si>
    <t xml:space="preserve">MANGUERA DE ALTA PRESIÓN GOOD YEAR DIAMETRO 1.5 </t>
  </si>
  <si>
    <t>BATERIA FULGOR 34/78-1000 AMP 12V</t>
  </si>
  <si>
    <t>BOCINA 100X50X450MM DE LONGITUD EN BRONCE AL ESTAÑO (SAE 64</t>
  </si>
  <si>
    <t>RODAMIENTOS MARCA PEER 6206</t>
  </si>
  <si>
    <t>RODAMIENTOS MARCA SKF 6008</t>
  </si>
  <si>
    <t>ESTOPERA 30x62x7 NBR</t>
  </si>
  <si>
    <t>ESTOPERA 40x80x10 TPR</t>
  </si>
  <si>
    <t>BOQUILLAS PULV. OD B, 10,00 GAL/H, 37.66 KG/H 45°, SEMISOLIDO</t>
  </si>
  <si>
    <t>BOQUILLA PULV. OD B, 12,00 GAL/H, 47.72 KG/H 45° SEMISOLIDO</t>
  </si>
  <si>
    <t>BOQUILLA PULV. OD B, 15,00 GAL/H 60.44 KG/H 45° SEMISOLIDO</t>
  </si>
  <si>
    <t>ROD. 40x68x19 32008 X TIMKEN</t>
  </si>
  <si>
    <t>ROD. 25X52X15 6205-2RS /C3 SKF</t>
  </si>
  <si>
    <t>ROD. 32009 TOPROL</t>
  </si>
  <si>
    <t>ROD. 22220 K/C3 SKF</t>
  </si>
  <si>
    <t>RODAMIENTO 6205 ZZC3 FAG</t>
  </si>
  <si>
    <t>CONTACTOR SCHNEIDER LC1D25M7</t>
  </si>
  <si>
    <t>RELE TERMICO SCHNEIDER DE 2 A 5 AMP. LRD10</t>
  </si>
  <si>
    <t xml:space="preserve">MANOMETRO BAUMER 40 - 60 PSI CON GLICERINA </t>
  </si>
  <si>
    <t>PRESOSTATO PUMPTRO 40 - 60 PSI HIDRONEUMATICO</t>
  </si>
  <si>
    <t xml:space="preserve">CONTACTOR SCHNEIDER LC1D25M7 </t>
  </si>
  <si>
    <t>RELE TERMICO SCHNEIDER DE 4 A 6 AMP. LRD10</t>
  </si>
  <si>
    <t>RELE TERMICO SCHNEIDER DE 2.5 A 4 AMP. LRD08</t>
  </si>
  <si>
    <t xml:space="preserve">MANOMETRO DE 0 A 120 PSI  CON GLICERINA </t>
  </si>
  <si>
    <t>PRESOSTATO DE 40 - 60 PSI PARA HIDRONEUMATICO</t>
  </si>
  <si>
    <t>RKI 72-RA-C GX-3R LEL / O2 / H2S / CO con paquete de baterías de iones de litio y 100-240 VCA</t>
  </si>
  <si>
    <t>Relé De Estado Sólido Fotek SSR-25DA 3-32V DC</t>
  </si>
  <si>
    <t xml:space="preserve">UPS APC BX1500M PRO TOWER 1500VA/900W/120/AVR/LCD/USB/ 10 TOMAS </t>
  </si>
  <si>
    <t xml:space="preserve"> AGDR - 71C Código: 68436770B + 68439990A 1/4</t>
  </si>
  <si>
    <t>SOPLADOR REGENERATIVO Mod.8741530001006 Marca:ELMO RIETSCHL</t>
  </si>
  <si>
    <t>ESTOPERAS 30X47X5</t>
  </si>
  <si>
    <t>ESTOPERAS 35X47X5</t>
  </si>
  <si>
    <t>UNIDAD DE MANTENIMIENTO FRL 1/2 FESTO 159590</t>
  </si>
  <si>
    <t>RODAMIENTO 6311 2RS SKF</t>
  </si>
  <si>
    <t>Rodamiento 6312  SKF</t>
  </si>
  <si>
    <t>CHUMACERA UCP 309-27 DIAMETRO EJE 1-11/16</t>
  </si>
  <si>
    <t xml:space="preserve">RODAMIENTO 30208 SKF </t>
  </si>
  <si>
    <t xml:space="preserve">RODAMIENTO 3206 SKF A/C3 </t>
  </si>
  <si>
    <t>RODAMIENTO 3208A2ZTN9MT33 SKF</t>
  </si>
  <si>
    <t>Rodamiento SKF SY-1-1/2 TF Talla 1-1/2"IN UCP208-24</t>
  </si>
  <si>
    <t xml:space="preserve"> 4 Week</t>
  </si>
  <si>
    <t>SOLO GANO 1 ITEM (COTIZACION TOTAL 3839$)</t>
  </si>
  <si>
    <t xml:space="preserve">GUARDAMOTOR 3RV2011-1JA10 SIEMENS (7-10 AMP) </t>
  </si>
  <si>
    <t>GUARDAMOTOR 3RV2011-4AA10 SIEMENS (11-16 AMP)</t>
  </si>
  <si>
    <t xml:space="preserve">GUARDAMOTOR 3RV1021-4BA10 SIEMENS (14-20 AMP) </t>
  </si>
  <si>
    <t>GUARDAMOTOR 3RV1011-1GA10 SIEMENS (4,5-6,3 AMP)</t>
  </si>
  <si>
    <t>GUARDAMOTOR 3RV2021-4DA10 SIEMENS (20-25 AMP)</t>
  </si>
  <si>
    <t xml:space="preserve">SENSOR PROX. IND. FESTO M12-NB-PS-S-L </t>
  </si>
  <si>
    <t>FUSIBLE FWP-40A14FA 40 AMP EATON</t>
  </si>
  <si>
    <t xml:space="preserve">FUSIBLE FWC-25A10F 600V BUSSMANN EATON </t>
  </si>
  <si>
    <t>FUSIBLE EATON 63A 690VAC BS88 MOD 63ET</t>
  </si>
  <si>
    <t>RELE 11 PINES ALLEN BRADLEY 24 VDC</t>
  </si>
  <si>
    <t>AMPLIFICADOR DE POTENCIA AMN-D-20T YUKEN</t>
  </si>
  <si>
    <t>VARIADOR DE FRECUENCIA 131B0060 DANFOSS</t>
  </si>
  <si>
    <t xml:space="preserve">GUARDAMOTOR GV2ME14 (6-10 AMP) SCHNEIDER </t>
  </si>
  <si>
    <t>GUARDAMOTOR GV2ME20 (13-18 AMP) SCHNEIDER</t>
  </si>
  <si>
    <t>GUARDAMOTOR GV2ME21 (17-23 AMP) SCHNEIDER</t>
  </si>
  <si>
    <t xml:space="preserve">GUARDAMOTOR GV2ME10 (4-6 AMP) SCHNEIDER </t>
  </si>
  <si>
    <t>GUARDAMOTOR GV2ME22 (20-25 AMP) SCHNEIDER</t>
  </si>
  <si>
    <t xml:space="preserve">VARIADOR DE FRECUENCIA 5HP 460VAC SCHNEIDER </t>
  </si>
  <si>
    <t xml:space="preserve">RELE 11 PINES SCHNEIDER </t>
  </si>
  <si>
    <t>RODAMIENTO 6201 2RS C3</t>
  </si>
  <si>
    <t>RODAMIENTO 6307 C3 ZZ</t>
  </si>
  <si>
    <t>RODAMIENTO 6201 2RS (1/2")</t>
  </si>
  <si>
    <t>RODAMIENTO 6003 2RS C3</t>
  </si>
  <si>
    <t>RODAMIENTO 6005 2RS C3</t>
  </si>
  <si>
    <t>RODAMIENTO 6009 2RS C3</t>
  </si>
  <si>
    <t>RODAMIENTO 6204 ZZ</t>
  </si>
  <si>
    <t>RODAMIENTO 6206 ZZ</t>
  </si>
  <si>
    <t>RODAMIENTO 608 ZZ</t>
  </si>
  <si>
    <t xml:space="preserve">RODAMIENTO 6003 2RS C3 </t>
  </si>
  <si>
    <t xml:space="preserve">RODAMIENTO 6009 2RS C3 </t>
  </si>
  <si>
    <t>RODAMIENTO 6202 2RS C3</t>
  </si>
  <si>
    <t xml:space="preserve">RODAMIENTO 6204 ZZ </t>
  </si>
  <si>
    <t>RODAMIENTO 6000 ZZ</t>
  </si>
  <si>
    <t>RODAMIENTO 6202 ZZ C3</t>
  </si>
  <si>
    <t>FOTOCELDA OMRON  E3X-NA21</t>
  </si>
  <si>
    <t>MARTILLO GOMA 57-532 STANLEY 21OZ ,   2"</t>
  </si>
  <si>
    <t xml:space="preserve">VALVULA CAMOZZI 464-905TF </t>
  </si>
  <si>
    <t>CABEL</t>
  </si>
  <si>
    <t>Conocer estatus de cotizaciones
y Darse a Conocer.</t>
  </si>
  <si>
    <t>MONDELEZ</t>
  </si>
  <si>
    <t>MOLANCA</t>
  </si>
  <si>
    <t>PAPELES LUCIANOS</t>
  </si>
  <si>
    <t>KENELLY</t>
  </si>
  <si>
    <t>MARTHA</t>
  </si>
  <si>
    <t>Conversar con Comprador
y cobranza.</t>
  </si>
  <si>
    <t>PROALCA</t>
  </si>
  <si>
    <t>RUDY</t>
  </si>
  <si>
    <t>CONTACTOR AUXILIAR C320KGT8</t>
  </si>
  <si>
    <t>VITAMINA A</t>
  </si>
  <si>
    <t>ACIDO CITRICO</t>
  </si>
  <si>
    <t>SORBATO</t>
  </si>
  <si>
    <t>SAL INDUSTRIAL</t>
  </si>
  <si>
    <t xml:space="preserve">Mechas S/M azufre </t>
  </si>
  <si>
    <t>UPS DE 20KW, ALIMENATCION 480VAC SALIDA 440VAC TRIFASICO 60HZ.</t>
  </si>
  <si>
    <t>Omron HEM-7120 Monitor de la parte superior del brazo BP automático</t>
  </si>
  <si>
    <t>6 Week</t>
  </si>
  <si>
    <t>Conocer Comprador</t>
  </si>
  <si>
    <t>PERDIDO POR PRECIO / BUSCO OTRA MARCA</t>
  </si>
  <si>
    <t>KARELIS</t>
  </si>
  <si>
    <t>AGROPORC</t>
  </si>
  <si>
    <t>MIGUEL</t>
  </si>
  <si>
    <t>Conocer Comprador 
Negociar Cotizacion</t>
  </si>
  <si>
    <t>LA CARIDAD</t>
  </si>
  <si>
    <t>IRAISI</t>
  </si>
  <si>
    <t>SIN INFORMACIÓN RELEVANTE</t>
  </si>
  <si>
    <t>Especicficaciones sobre productos
 (quimicos) y conocer Comprador</t>
  </si>
  <si>
    <t>INVERSIONES GLOBAL 1411
PURO AVENA</t>
  </si>
  <si>
    <t>NUEVAS COTIZACIONES Y
LE ABRIRAN CODIGO POR IMPRO</t>
  </si>
  <si>
    <t>ALBECA</t>
  </si>
  <si>
    <t>EL PALMAR</t>
  </si>
  <si>
    <t>LUISIANA</t>
  </si>
  <si>
    <t>BECERRA</t>
  </si>
  <si>
    <t>GRAFICO N/P 00213825, 24HR / 0-100C</t>
  </si>
  <si>
    <t>JESUS MONTOYA</t>
  </si>
  <si>
    <t>KEVIN CHIRINOS</t>
  </si>
  <si>
    <t>Av. Principal Casa No. Cívico 88-100 Galpón A Nro. P-136,  Industrial Norte. Valencia, Estado Carabobo. Zona Postal 2006.</t>
  </si>
  <si>
    <t>0241-8324365</t>
  </si>
  <si>
    <t>INVERSIONES GLOBAL 1411 C.A.(PURO AVENA )</t>
  </si>
  <si>
    <t xml:space="preserve">CILINDRO NEUMATICO DOBLE EFECTO 40X40MM </t>
  </si>
  <si>
    <t xml:space="preserve">RACOR CURVO 1/2"-12 </t>
  </si>
  <si>
    <t>RACOR CURVO 1/8"-8</t>
  </si>
  <si>
    <t>RACOR RECTO 1/2"-8</t>
  </si>
  <si>
    <t>VARIADOR DE FRECUENCIA ALLEN BRADLEY 5 HP MOD 25B-D010N104</t>
  </si>
  <si>
    <t>RELE 11 PINES ALLEN BRADLEY MOD 700-HK32Z24-4</t>
  </si>
  <si>
    <t>CONTACTOR SIEMENS MOD 3RT2025-1BB40 10 HP 460 VAC</t>
  </si>
  <si>
    <t>CONTACTOR SIEMENS MOD 3RT2024-1BB40 7,5 HP 460 VAC</t>
  </si>
  <si>
    <t>CONTACTOR SIEMENS MOD 3RT2023-1BB40 5 HP 460 VAC</t>
  </si>
  <si>
    <t>CONTACTOR SIEMENS MOD 3RT2027-1BB40 20 HP 460 VAC</t>
  </si>
  <si>
    <t>2-3 week</t>
  </si>
  <si>
    <t>UWT level control rn 3004 ew11ea1p1s</t>
  </si>
  <si>
    <t>Control de nivel UWT rn 3002, C011BA3Z3B, 0100294814</t>
  </si>
  <si>
    <t>Stanley Nº 57-532, 21 OZ Compo Fundido Martillo</t>
  </si>
  <si>
    <t>A-B VARIADOR DE FRECUENCIA 25B-B8P0N104 1.5 KW / 2 HP</t>
  </si>
  <si>
    <t>Especificaciones de cotizacion recibida</t>
  </si>
  <si>
    <t>AGROBUEYCA,LA CARIDAD,PUROLOMO</t>
  </si>
  <si>
    <t>Conversar con Comprador
y entregar producto</t>
  </si>
  <si>
    <t>RUBEN</t>
  </si>
  <si>
    <t>JORWIL</t>
  </si>
  <si>
    <t>ALPA</t>
  </si>
  <si>
    <t>GEINIRIS</t>
  </si>
  <si>
    <t>Mas especicficaciones sobre
cant. de quimicos.</t>
  </si>
  <si>
    <t>Informar envio de cotizaciones</t>
  </si>
  <si>
    <t>VIVIANA</t>
  </si>
  <si>
    <t>Para informar sobre el cambio de Razon social Y sobre cotizacion enviada</t>
  </si>
  <si>
    <t>Conocer estatus de Cotizaciones e
 informar de cotizacion enviada</t>
  </si>
  <si>
    <t>Indicar que esta pendiente con sus 
requerimientos</t>
  </si>
  <si>
    <t>Indicar que ira de visita para el dia de mañana</t>
  </si>
  <si>
    <t>ORLANDO</t>
  </si>
  <si>
    <t>JUAN</t>
  </si>
  <si>
    <t>3-4 Meses</t>
  </si>
  <si>
    <t xml:space="preserve">MOTOR ELECTRICO P/ACOPLE A REDUCTOR SEW EURODRIVE </t>
  </si>
  <si>
    <t>SERVORREDUCTOR MARCA SEW EURODRIVE SA77 CM90S/BR/TF/RH1L</t>
  </si>
  <si>
    <t>3-4 meses</t>
  </si>
  <si>
    <t xml:space="preserve">Portafusible Siemens 8WA1011-1SF12 </t>
  </si>
  <si>
    <t>LRD3363 sobrecarga térmica Relé 63-80 Amp. 50/60 Hz</t>
  </si>
  <si>
    <t>Schneider Eléctrico LV430403 NSX160F</t>
  </si>
  <si>
    <t>CT-USB-CABLE Nidec Control Techniques Convertidor de USB a RS485</t>
  </si>
  <si>
    <t>Magnetic powder Type: FZ400A -1</t>
  </si>
  <si>
    <t xml:space="preserve">ELECTRO VALVULA MN1H 2 3/8 MS 161727 FESTO </t>
  </si>
  <si>
    <t>REG FLUJO GRLA 3/8 151178 FESTO</t>
  </si>
  <si>
    <t>ELECTRO VALVULA MFH 5 1/4 6211 FESTO</t>
  </si>
  <si>
    <t>MAQUINA DE COSER SACOS INDUSTRIAL MODELO:AA-6, MARCA:SIRUBA</t>
  </si>
  <si>
    <t xml:space="preserve">TUBO FLEXIBLE PFAN 8X1,5 NT MARCA FESTO </t>
  </si>
  <si>
    <t>148B5930 VALVULA DE CIERRE 3"</t>
  </si>
  <si>
    <t>Conocer estatus de cotizaciones</t>
  </si>
  <si>
    <t xml:space="preserve">Saludar a comprador </t>
  </si>
  <si>
    <t>Solucionar problema por las O.C 
que se tienen pendiente por Global</t>
  </si>
  <si>
    <t>Cobranza</t>
  </si>
  <si>
    <t>MARIA</t>
  </si>
  <si>
    <t>Membrana de Osmosis Inversa de 4 x 40  2.400 GPD a 225 psi | 99,5%</t>
  </si>
  <si>
    <t>Rosemount presión transmittor 3051 800PSI, 55.2BAR,10.5 - 55VDC, op 4-20MA</t>
  </si>
  <si>
    <t>SELECTOR DE 2 POSICIONES MOD XB4-BD25</t>
  </si>
  <si>
    <t>Schneider Electric XVR3M04S</t>
  </si>
  <si>
    <t>Schneider Electric telemecanique XS618B1MAL2 Sensor de proximidad</t>
  </si>
  <si>
    <t>Filtro de aire B120472 Marca Donalson reemplaza  0180945802</t>
  </si>
  <si>
    <t>Festo SME-8-K-LED-230 152820</t>
  </si>
  <si>
    <t>Atlas Copco 1613-7407-00 Filtro</t>
  </si>
  <si>
    <t>Baldwin Filters Pa2337 Filtro de aire, 11-7/8 X 4-11/32 Pulg</t>
  </si>
  <si>
    <t>Sello De Eje De Aceite EAI Viton Métrico 260x300x20mm polvo Grasa TC</t>
  </si>
  <si>
    <t>Sello De Aceite 55X100X10mm TC</t>
  </si>
  <si>
    <t>COLORANTE ROJO X KG</t>
  </si>
  <si>
    <t>COLORANTE AZUL X KG</t>
  </si>
  <si>
    <t>COLORANTE VERDE X KG</t>
  </si>
  <si>
    <t>COLORANTE AZUL NRO 1(BRILLANTE) X TAMBOR 25KG</t>
  </si>
  <si>
    <t>COLORANTE AZUL NRO 2 (INDIGO) X TAMBOR 25KG</t>
  </si>
  <si>
    <t>COLORANTE VERDE MANZANA X TAMBOR 25KG</t>
  </si>
  <si>
    <t>COLORANTE FUCSIA X GRANEL</t>
  </si>
  <si>
    <t>ALIMENTOS DEL CENTRO ALCECA, C.A</t>
  </si>
  <si>
    <t>Filtro De Aceite Atlas Copco 1613 6105 00 Compresor GA-55</t>
  </si>
  <si>
    <t>GANADERIA CACHO E VENAO, C.A</t>
  </si>
  <si>
    <t>Guía H179000</t>
  </si>
  <si>
    <t>Dedo Del Sin Fin De La Pala H205318 ( Cantidad Minima 25 )</t>
  </si>
  <si>
    <t>Filtro De Gas Oil Secundario Perkins CH10931</t>
  </si>
  <si>
    <t>Filtro De Aceite Perkins CH10929</t>
  </si>
  <si>
    <t>1600-5</t>
  </si>
  <si>
    <t>Filtro de Aceite Atlas Copco 1613 6105 00 GA-55</t>
  </si>
  <si>
    <t>CARGILL DE VENEZUELA, S.R.L</t>
  </si>
  <si>
    <t>Aceite Gulf Lubricante Engranaje 460 Tambor 280L</t>
  </si>
  <si>
    <t>Grasa Grado Alimenticion Verkol FG-2 Mineral Paila 18 Kg</t>
  </si>
  <si>
    <t>Autonics Controlador de Temperatura TZ4ST-24C</t>
  </si>
  <si>
    <t>Schneider Interruptor Selector Negro Ø22 2 Posición N° Part # XB4BD21</t>
  </si>
  <si>
    <t>Airtac Válvula De Solenoide 1/4" N° Part # 4V310-08-B-DC24V</t>
  </si>
  <si>
    <t>Festo Manguera Neu. 8mm PUN-8X1,25-BL N° Part # 159666</t>
  </si>
  <si>
    <t>Festo Manguera Neu. 6mm PUN-6X1-BL N° Part # 159664</t>
  </si>
  <si>
    <t>Festo Racor Rápido Roscado QS-1/4-6 N° Part # 153003</t>
  </si>
  <si>
    <t>Festo Racor Rápido Roscado QS-1/4-8 N° Part # 153005</t>
  </si>
  <si>
    <t>Festo Silenciador U-1/4 N° Part # 2316</t>
  </si>
  <si>
    <t>Festo Cilindro DSNU-25-125-PPV-A N° Part # 19249</t>
  </si>
  <si>
    <t>Festo Cilindro DSN-25-50-P N° Part # 5078</t>
  </si>
  <si>
    <t>Festo Electroválvula MFH-5/2-D-1-C N° Part # 150981</t>
  </si>
  <si>
    <t>Festo Válvula De Estrangulación GRLA-1/8-B N° Part # 151165</t>
  </si>
  <si>
    <t>Festo Silenciador U-1/8 N° Part # 2307</t>
  </si>
  <si>
    <t>Festo Racor Rápido QSL-1/8-8 N° Part # 153048</t>
  </si>
  <si>
    <t>Festo Válvula Reguladora GRLA-1/8-B N° Part # 151165</t>
  </si>
  <si>
    <t>Festo Válvula Reguladora GRLA-1/4-B N° Part # 151172</t>
  </si>
  <si>
    <t>Schneider Variador de Frecuencia 2HP 0.75 KW V, 220-240</t>
  </si>
  <si>
    <t>Schneider Variador de Frecuencia 2HP 1.5KW 220</t>
  </si>
  <si>
    <t>INDUSTRIA VENEZOLANA MAIZERA PROAREPA, C.A</t>
  </si>
  <si>
    <t>Aire Acondicionado 24 BTU</t>
  </si>
  <si>
    <t>Aire Acondicionado 18 BTU</t>
  </si>
  <si>
    <t>(BAUMER MAGNEGTICO SENSOR DE ANGULO MDRM 18U9524</t>
  </si>
  <si>
    <t>Festo Silenciador U-1/2 B #6844</t>
  </si>
  <si>
    <t>Festo Silenciador U-3/8 B #6843</t>
  </si>
  <si>
    <t>Festo Silenciador U-1/8 B #6841</t>
  </si>
  <si>
    <t>SKF QJ 206 MA Rodamientos De Bolas Contacto Angular 30*62*16mm</t>
  </si>
  <si>
    <t>INDUSTRIA MAICERA PRONUTRICOS, C.A</t>
  </si>
  <si>
    <t>Relé De Control Mcdonnell &amp; Miller 750BM-P-120-CI</t>
  </si>
  <si>
    <t>Gems Sensors Warrick 26MA1A0</t>
  </si>
  <si>
    <t>Correa Unica Tactor John Deere R135822</t>
  </si>
  <si>
    <t>ABB Contactor A63-30-11 230-240V 50Hz</t>
  </si>
  <si>
    <t>ABB Contactor A75-30-11 110V 50Hz</t>
  </si>
  <si>
    <t>SKF Rodamiento HK 3026 Casquillos De Agujas</t>
  </si>
  <si>
    <t>McGill Rodamiento Seguidor Mod CF2</t>
  </si>
  <si>
    <t>Modulo Allen Bradley 1769-IQ32 DESC</t>
  </si>
  <si>
    <t>Sensor danfoss 060g3718</t>
  </si>
  <si>
    <t>ALIMENTACION BALANCEADA ALIBAL, C.A</t>
  </si>
  <si>
    <t>ESTOPERA 20X28X</t>
  </si>
  <si>
    <t>RODAMIENTO 6202 2RS SKF</t>
  </si>
  <si>
    <t>ESTOPERA 27 X 42 X 7 MM</t>
  </si>
  <si>
    <t>RODAMIENTO 6201 2RS SKF</t>
  </si>
  <si>
    <t>SKF 626 2Z ZZ RODAMIENTO 6x19x6mm</t>
  </si>
  <si>
    <t>CAMARA TRACTOR 7715 MARCA JOHN DEERE</t>
  </si>
  <si>
    <t>TRANSVICA, C.A</t>
  </si>
  <si>
    <t>LA LUCHA</t>
  </si>
  <si>
    <t>ABB TB55632615F15  ELECTRODO DE MEDICION</t>
  </si>
  <si>
    <t>4-5 MESES</t>
  </si>
  <si>
    <t xml:space="preserve">VALVULA 1 1/2" DANFOSS SVA-S-40 148B5631 </t>
  </si>
  <si>
    <t>VALVULA 3" DANFOSS SVA-S-80 148B5930</t>
  </si>
  <si>
    <t>VALVULA 2" DANFOSS SVA-S-150 148B6211</t>
  </si>
  <si>
    <t>VALVULA DE RETENCION PARKER CK4-A3</t>
  </si>
  <si>
    <t>VALVULA ANGULAR DE CIERRE AMONIACO 3" SAN0300WSBHN</t>
  </si>
  <si>
    <t xml:space="preserve">CILINDRO DOBLE EFECTO 32X50MM PCS </t>
  </si>
  <si>
    <t xml:space="preserve">ELCTROVALVULA NEUMATICA 5/2 VIAS 1/2" CON BOBINA </t>
  </si>
  <si>
    <t>ELECTROVALVULA NEUMATICA 5/2 VIAS 1/4" CON BOBINA PCS</t>
  </si>
  <si>
    <t>ELECTROVALVULA NEUMATICA CENTRO CERRADO 5/3 VIAS 1/4" CON BOBINA PCS</t>
  </si>
  <si>
    <t>RACOR RECTO 1/2" X 12 MM PCS</t>
  </si>
  <si>
    <t>RACOR RECTO 1/2" X 10 MM PCS</t>
  </si>
  <si>
    <t>RACOR RECTO 1/2" X 8 MM PCS</t>
  </si>
  <si>
    <t>RACOR RECTO 1/4" X 8 MM PCS</t>
  </si>
  <si>
    <t>RACOR RECTO 1/4" X 10 MM PCS</t>
  </si>
  <si>
    <t>RACOR RECTO 3/8" X 10 MM PCS</t>
  </si>
  <si>
    <t>RACOR RECTO 1/8" X 8 MM PCS</t>
  </si>
  <si>
    <t xml:space="preserve">MANGUERA DE POLIURETANO AZUL 8 MM </t>
  </si>
  <si>
    <t xml:space="preserve">REGULADOR DE CAUDAL 1/4" X 8 MM </t>
  </si>
  <si>
    <t xml:space="preserve">MANGUERA DE POLIURETANO ROJO 8 MM </t>
  </si>
  <si>
    <t xml:space="preserve">FILTRO REGULADOR LUBRICADOR 1/2" </t>
  </si>
  <si>
    <t>SENSOR INDUCTIVO XS618B1MBL2</t>
  </si>
  <si>
    <t>SERVOREDUCTOR SA77 CM90S/BR/TF/RH1L SEW EURODRIVE</t>
  </si>
  <si>
    <t>8 Week</t>
  </si>
  <si>
    <t>Aceite Atlas Copco  Roto Ndurance 5 litros</t>
  </si>
  <si>
    <t>Dispositivo compacto de conductividad Smartec CLD134</t>
  </si>
  <si>
    <t xml:space="preserve"> GRAPADORA VISE LASER R-10</t>
  </si>
  <si>
    <t xml:space="preserve">ENCODER TYPE P/N GHM911-1000-004 BEI </t>
  </si>
  <si>
    <t>Lovejoy 36514 tamaño 8H sólido diseño S-Flex de acoplamiento</t>
  </si>
  <si>
    <t>PUENTE RECTIFICADOR REC12-690+DC</t>
  </si>
  <si>
    <t>Festo DNC-50-PPV-A 369197</t>
  </si>
  <si>
    <t>Siemens logo! 24rc 6ed1 052-1hb00-0ba6 a</t>
  </si>
  <si>
    <t>Cable de Comunicación Generico</t>
  </si>
  <si>
    <t>MATADERO INDUSTRIAL LAS VEGAS, C.A</t>
  </si>
  <si>
    <t>NIDEC V35132-16F 8038 Ventilador de inversor 24V 0.45A 8CM</t>
  </si>
  <si>
    <t>Festo Válvula De Solenoide MFH-5-1/4 6211 5/2</t>
  </si>
  <si>
    <t>PROTINAL, C.A</t>
  </si>
  <si>
    <t>DISCO MOLINO PENAGOS MDP-60</t>
  </si>
  <si>
    <t>AGROINDUSTRIAL INDUSTRIAL EL PAUJI, C,A</t>
  </si>
  <si>
    <t>CONECTOR FESTO RECTO 8MM X 1/4 QS- 1/4- 8</t>
  </si>
  <si>
    <t>CONECTOR FESTO CURVO 8MM X 1/4 QSL- 1/4- 8</t>
  </si>
  <si>
    <t>CONECTOR FESTO CURVO 6MM X 1/4 QSL- 1/4- 6</t>
  </si>
  <si>
    <t>MANGUERA FLEX PU-8 POLIURETANO PUN-8X1,25BL</t>
  </si>
  <si>
    <t>MANGUERA FLEX PU-6 POLIURETANO PUN-6X1BL</t>
  </si>
  <si>
    <t>cotizo dos pero compraron solo 1</t>
  </si>
  <si>
    <t>Entregar obsequio</t>
  </si>
  <si>
    <t>Entregar muestra de quimicos y Conversar con Comprador.</t>
  </si>
  <si>
    <t xml:space="preserve">NO ATENDIERON,DE LUNES A MARTES LO RECIBEN </t>
  </si>
  <si>
    <t>NUEVAS COTIZACIONES Y EN LA PROXIMA VIISTA LE DARIAN ENTRADA A PLANTA</t>
  </si>
  <si>
    <t>Saber estatus de Cotizaciones y Cobranza</t>
  </si>
  <si>
    <t>SIN INFORMACIÓN RELEVANTE, LE ESTARA
ENVIANDO NUEVOS REQUERIMIENTOS</t>
  </si>
  <si>
    <t>LANDSCAPE</t>
  </si>
  <si>
    <t>Mas especicficaciones sobre productos</t>
  </si>
  <si>
    <t>ZULEIDY</t>
  </si>
  <si>
    <t xml:space="preserve">Dialogar con comprador </t>
  </si>
  <si>
    <t>Dialogar con comprador e informar
que iria de visita</t>
  </si>
  <si>
    <t>CATESCO GOMAS</t>
  </si>
  <si>
    <t>VANESSA</t>
  </si>
  <si>
    <t xml:space="preserve">Dialogar con comprador y preguntar si tenia requerimientos </t>
  </si>
  <si>
    <t>INDUSTRIAS ANROS</t>
  </si>
  <si>
    <t>Conocer estatus de Cotizacion y preguntar si tenia requerimientos</t>
  </si>
  <si>
    <t>Preguntar si tenia nuevos requerimientos</t>
  </si>
  <si>
    <t>ANDREINA</t>
  </si>
  <si>
    <t>SINTHESIS, QUIMICOLOR</t>
  </si>
  <si>
    <t>YNGRID</t>
  </si>
  <si>
    <t>Estuvo en contacto con comprador
por requerimiento que tiene pendiente</t>
  </si>
  <si>
    <t>7- 12 Week</t>
  </si>
  <si>
    <t>RELE TERMICO DE 2.5 A 4 AMP. SCHNEIDER (LRD08)</t>
  </si>
  <si>
    <t>RELE TERMICO 2.5 A 4AMP SCHNEIDER (LRD08)</t>
  </si>
  <si>
    <t>7-12 Dias</t>
  </si>
  <si>
    <t>Farmcomp Probador de humedad del grano Wile 55</t>
  </si>
  <si>
    <t>24061624 Lubricante Ultra EL, 15 litros</t>
  </si>
  <si>
    <t>HUSILLOS DE BOLA, TIPO FSU, MODELO HIWIN R40-10K4-FSCDIN</t>
  </si>
  <si>
    <t>Festo Válvula De Solenoide MFH-5-1/4 6211</t>
  </si>
  <si>
    <t>Festo Dsnu - 25-80-PPV-A 19247</t>
  </si>
  <si>
    <t>Festo QSL-1/4-4 Push 190659</t>
  </si>
  <si>
    <t>Festo Electric QSR-1/8-4 153401</t>
  </si>
  <si>
    <t>ACEITE 4GS SUNISO</t>
  </si>
  <si>
    <t>Mas especicficaciones sobre
producto para cotizar.</t>
  </si>
  <si>
    <t>Conocer estatus de Cotizacion y 
preguntar si tenia requerimientos</t>
  </si>
  <si>
    <t>Conocer estatus de Cotizacion e informar
estatus de O.C pendiente</t>
  </si>
  <si>
    <t>Informar sobre visita</t>
  </si>
  <si>
    <t>Mas especicficaciones sobre
quimicos</t>
  </si>
  <si>
    <t>CARLA</t>
  </si>
  <si>
    <t>Conocer estatus de Cotizacion</t>
  </si>
  <si>
    <t>Informar que haria cotizacion que
envio por GLOBAL, pero con la
nueva razon social</t>
  </si>
  <si>
    <t>Informar estatus de su
orden de compra</t>
  </si>
  <si>
    <t>HENRY</t>
  </si>
  <si>
    <t>1596-5</t>
  </si>
  <si>
    <t>1597-5</t>
  </si>
  <si>
    <t>1598-5</t>
  </si>
  <si>
    <t>1599-5</t>
  </si>
  <si>
    <t>1601-5</t>
  </si>
  <si>
    <t>1603-5</t>
  </si>
  <si>
    <t>1604-5</t>
  </si>
  <si>
    <t>1605-5</t>
  </si>
  <si>
    <t>1607-5</t>
  </si>
  <si>
    <t>1773-5</t>
  </si>
  <si>
    <t>1752-5</t>
  </si>
  <si>
    <t>1753-5</t>
  </si>
  <si>
    <t>1754-5</t>
  </si>
  <si>
    <t>1757-5</t>
  </si>
  <si>
    <t>1758-5</t>
  </si>
  <si>
    <t>1759-5</t>
  </si>
  <si>
    <t>1760-5</t>
  </si>
  <si>
    <t>1763-5</t>
  </si>
  <si>
    <t>1761-5</t>
  </si>
  <si>
    <t>1762-5</t>
  </si>
  <si>
    <t>1765-5</t>
  </si>
  <si>
    <t>1764-5</t>
  </si>
  <si>
    <t>1768-5</t>
  </si>
  <si>
    <t>1775-5</t>
  </si>
  <si>
    <t>1777-5</t>
  </si>
  <si>
    <t>1778-5</t>
  </si>
  <si>
    <t>1782-5</t>
  </si>
  <si>
    <t>1783-5</t>
  </si>
  <si>
    <t>1820-5</t>
  </si>
  <si>
    <t>1781-5</t>
  </si>
  <si>
    <t>1794-5</t>
  </si>
  <si>
    <t>1800-5</t>
  </si>
  <si>
    <t>1798-5</t>
  </si>
  <si>
    <t>1789-5</t>
  </si>
  <si>
    <t>1787-5</t>
  </si>
  <si>
    <t>1788-5</t>
  </si>
  <si>
    <t>1791-5</t>
  </si>
  <si>
    <t>1792-5</t>
  </si>
  <si>
    <t>1793-5</t>
  </si>
  <si>
    <t>1838-5</t>
  </si>
  <si>
    <t>1796-5</t>
  </si>
  <si>
    <t>1795-5</t>
  </si>
  <si>
    <t>1797-5</t>
  </si>
  <si>
    <t>1801-5</t>
  </si>
  <si>
    <t>1802-5</t>
  </si>
  <si>
    <t>1803-5</t>
  </si>
  <si>
    <t>1799-5</t>
  </si>
  <si>
    <t>1786-5</t>
  </si>
  <si>
    <t>1804-5</t>
  </si>
  <si>
    <t>1807-5</t>
  </si>
  <si>
    <t>1806-5</t>
  </si>
  <si>
    <t>1810-5</t>
  </si>
  <si>
    <t>1809-5</t>
  </si>
  <si>
    <t>1808-5</t>
  </si>
  <si>
    <t>1816-5</t>
  </si>
  <si>
    <t>1817-5</t>
  </si>
  <si>
    <t>1818-5</t>
  </si>
  <si>
    <t>1819-5</t>
  </si>
  <si>
    <t>1821-5</t>
  </si>
  <si>
    <t>1823-5</t>
  </si>
  <si>
    <t>1824-5</t>
  </si>
  <si>
    <t>1826-5</t>
  </si>
  <si>
    <t>1832-5</t>
  </si>
  <si>
    <t>1828-5</t>
  </si>
  <si>
    <t>1831-5</t>
  </si>
  <si>
    <t>1829-5</t>
  </si>
  <si>
    <t>1830-5</t>
  </si>
  <si>
    <t>1833-5</t>
  </si>
  <si>
    <t>1834-5</t>
  </si>
  <si>
    <t>1835-5</t>
  </si>
  <si>
    <t>1837-5</t>
  </si>
  <si>
    <t>1836-5</t>
  </si>
  <si>
    <t>1839-5</t>
  </si>
  <si>
    <t>1841-5</t>
  </si>
  <si>
    <t>1842-5</t>
  </si>
  <si>
    <t>1843-5</t>
  </si>
  <si>
    <t>1844-5</t>
  </si>
  <si>
    <t>PAVECA</t>
  </si>
  <si>
    <t>GB  CHEMPRO C.A</t>
  </si>
  <si>
    <t>SOLO 1 ITEM RECIBIO O.C LAL0081493(REQ: 511097) 
MONTO TOTAL: 969,58$</t>
  </si>
  <si>
    <t>CANT:1/ MONTO TOTAL 31896$</t>
  </si>
  <si>
    <t>NO ATENDIERON, NO HABIA LUZ</t>
  </si>
  <si>
    <t>EMBUTIDOS Y SALAZONES GOURMET</t>
  </si>
  <si>
    <t>CORREO DE COMPRAS</t>
  </si>
  <si>
    <t xml:space="preserve">VALVULA ASCO 1/2" MODELO 8220G406 240 VAC </t>
  </si>
  <si>
    <t>Panel de control digital SDMO APM303, KIT DE RETROFIT</t>
  </si>
  <si>
    <t>MANGUERA POLY 10MM (10 METROS)</t>
  </si>
  <si>
    <t>RACOR CURVO 1/4 *10</t>
  </si>
  <si>
    <t xml:space="preserve">MEMBRANA PARKER PARA ELECTROVALVULA ( 306130SP) </t>
  </si>
  <si>
    <t>ELECTROVALVULA VICKERS (DG4V52CJMUH620) EATON</t>
  </si>
  <si>
    <t>TM 175 NUMERO DE PARTE  87803357</t>
  </si>
  <si>
    <t>TM 190 NUMERO DE PARTE 87803357</t>
  </si>
  <si>
    <t>10 Week</t>
  </si>
  <si>
    <t>SUPERVISOR TRIFASICO EXCELINE 440 V GST- R440 </t>
  </si>
  <si>
    <t>FESTO FRC-1/4-D - unidad de servicio Mini 159605</t>
  </si>
  <si>
    <t>LANDSCAPE VISION CORPORATION, S.A</t>
  </si>
  <si>
    <t>PERRO PARA CONSTRUCCION</t>
  </si>
  <si>
    <t>CUARTONES .10 x 0,05 x 3,66 LARGO</t>
  </si>
  <si>
    <t>CLAVO DE 4"</t>
  </si>
  <si>
    <t>CLAVO DE 2 1/2"</t>
  </si>
  <si>
    <t>GENERADOR GENPAR 9,25 KVA A GASOLINA 15 HP</t>
  </si>
  <si>
    <t>DOMOSA VIBRADOR GASOL. 5,5 HP D.P MANGUERA 6 MTS 45 MM</t>
  </si>
  <si>
    <t>J-00011601-6</t>
  </si>
  <si>
    <t>COCACOLA</t>
  </si>
  <si>
    <t>Estatus de codigo</t>
  </si>
  <si>
    <t>LOISA</t>
  </si>
  <si>
    <t>JOSER</t>
  </si>
  <si>
    <t>Estatus de codigo y estatus de cotizacion</t>
  </si>
  <si>
    <t>Para informar sobre la cotizacion
enviada y sobre estatus de O.C</t>
  </si>
  <si>
    <t>Mas especicficaciones sobre requerimiento</t>
  </si>
  <si>
    <t>MARIANGEL</t>
  </si>
  <si>
    <t>Para informar sobre la cotizacion enviada
 y preguntar por nuevos requerimientos</t>
  </si>
  <si>
    <t>Motivo de la Llamada/ MSJ</t>
  </si>
  <si>
    <t>Mas especicficaciones sobre quimicos 
y preguntar si tenia nuevos requerimientos</t>
  </si>
  <si>
    <t>AVENA EN HOJUELAS X SACOS 25KG</t>
  </si>
  <si>
    <t>EDTA TETRASODICO X KG</t>
  </si>
  <si>
    <t>EMULSIFICANTE EN GRASAS VEGETALES X KG</t>
  </si>
  <si>
    <t xml:space="preserve">TUBE ASSEM 4J8155 CATERPILLAR ORIGINAL </t>
  </si>
  <si>
    <t xml:space="preserve">CELDA. CARGA HBM  H35AN5/4K-1 </t>
  </si>
  <si>
    <t xml:space="preserve">MANGUERA ALTA PRESIÓN 3/4" 100% GOMA </t>
  </si>
  <si>
    <t>MANGUERA ALTA PRESIÓN 3/4" 50% GOMA 50%PVC</t>
  </si>
  <si>
    <t>FLOTANTE DE NIVEL ELECTRICO MARCA LUISE MODELO GL 120 3 MTS</t>
  </si>
  <si>
    <t xml:space="preserve">FLOTANTE DE NIVEL ELECTRICO MARCA LUISE MODELO GL 120. 5 MTS </t>
  </si>
  <si>
    <t>SOLO GANO 2 ITEM ( MONTO TOTAL 681,38$)</t>
  </si>
  <si>
    <t>ACTIVADOR</t>
  </si>
  <si>
    <t>Infromar estatus de O.C e informar entrega
de productos</t>
  </si>
  <si>
    <t>Entregar detalles por dia de las madres</t>
  </si>
  <si>
    <t>SIN NUEVOS REQUERIMIENTOS ESTA A LA ESPERA DE SU PRODUCTO</t>
  </si>
  <si>
    <t xml:space="preserve">SIN NUEVOS REQUERIMIENTOS, 
ESTA EN REVISION DE SUS COTIZACIONES  </t>
  </si>
  <si>
    <t>QUE SERIA TOMADO EN CUENTA
PARA FUTUROS REQUERIMIENTOS Y QUE ESTE ATENTO PARA LAS O.C QUE LE ENVIARAN.</t>
  </si>
  <si>
    <t>QUE SERIA TOMADO EN CUENTA
PARA FUTUROS REQUERIMIENTOS.</t>
  </si>
  <si>
    <t>NO TIENE REQUERIMIENTOS NUEVOS</t>
  </si>
  <si>
    <t>LE SOLICITO AYUDA PARA COMPRAR
LA O.C PERO NACIONAL</t>
  </si>
  <si>
    <t>ESTARA A LA ESPERA DE SU COTIZACION</t>
  </si>
  <si>
    <t>ESTA EN PROCESO DE
 REVISION DE COTIZACIONES</t>
  </si>
  <si>
    <t/>
  </si>
  <si>
    <t>SOLICITO DE DE NUEVA COTIZACION.</t>
  </si>
  <si>
    <t>SIN RESPUESTA DEL COMPRADOR</t>
  </si>
  <si>
    <t>REVISARIA COTIZACION Y LE ESTARIA
INFORMANDO.</t>
  </si>
  <si>
    <t>QUE PRONTO LE ESTARA ENVIANDO O.C</t>
  </si>
  <si>
    <t>QUE ESTABA FULL QUE APENAS REVISARA
LE ENVIARIAN LOS REQUERIMIENTOS.</t>
  </si>
  <si>
    <t>SIN INFORMACION RELEVANTE</t>
  </si>
  <si>
    <t>TENESMOS CODIGO Y NOS EMPEZARAN A
ENVIAR COTIZACIONES POR IMPRO</t>
  </si>
  <si>
    <t>LAS COTIZACIONES ESTAN EN REVISION.</t>
  </si>
  <si>
    <t>COTIZACIONES PERDIDAS POR PRECIO
 Y OTRAS CON O.C</t>
  </si>
  <si>
    <t>COTIZACIONES PERDIDAS POR TIEMPO DE ENTREGA Y OTRAS CON O.C</t>
  </si>
  <si>
    <t>COORDINO VISITA PARA EL MIERCOLES.</t>
  </si>
  <si>
    <t>RECIBIO NUEVAS COTIZACIONES</t>
  </si>
  <si>
    <t>SIN RESPUESTA DEL COMPRADOR, YA NO TRABAJA
AHÍ</t>
  </si>
  <si>
    <t>ESTA EN REVISION Y POR EL MOMENTO NO TIENE REQUERIMIENTOS EN BQTO.</t>
  </si>
  <si>
    <t>ESTAN EN PROCESO LAS O.C Y
PIDIO QUE COTIZARA UN REQUERIMIENTO</t>
  </si>
  <si>
    <t>ESPERANDO RESPUESTA DEL COMPRADOR</t>
  </si>
  <si>
    <t>NO LE LLEGO CORREO PERO PIDIO QUE
 LE REENVIARA LA COTIZACION</t>
  </si>
  <si>
    <t xml:space="preserve">LE INDICO LAS O.C QUE YA ESTAN PROCESADAS
Y ESTA EN ESPERA DE PRODUCTOS,
HASTA QUE NO ENTREGUEN NO ENVIA O.C
 </t>
  </si>
  <si>
    <t>ENVIARA PRESENTACIÓN PARA QUE LO CONSIDERE
EN FUTUROS REQUERIMIENTOS DE QUIMICOS.</t>
  </si>
  <si>
    <t>SIN INFORRMACIÓN RELEVANTE</t>
  </si>
  <si>
    <t>ESTA EN REVISION LAS COTIZACIONES PENDIENTES
Y EN LO QUE TENGA NUEVOS REQUERIMIENTOS SE
LOS HACE LLEGAR.</t>
  </si>
  <si>
    <t xml:space="preserve">SIN INFORRMACIÓN RELEVANTE, COORDINARA VISITA
PARA MAÑANA Y ASI OBTENER MAS INFORMACION Y
COTIZAR REQUERIMIENTO. </t>
  </si>
  <si>
    <t>ESTA EN REVISION Y POR EL MOMENTO NO TIENE REQUERIMIENTOS.</t>
  </si>
  <si>
    <t>INDICO QUE MEJORARA PRECIOS Y TIEMPO DE ENTREGA</t>
  </si>
  <si>
    <t>QUE ENVIARA PRESENTACION PARA SER CONSIDERADO EN FUTUROS REQUERIMIENTOS</t>
  </si>
  <si>
    <t>SIN INFORMACION RELEVANTE Y MAÑANA LO ESPERA 
EN LAS INTALACIONES DE LA EMPRESA.</t>
  </si>
  <si>
    <t>SIN REQUERIMIENTOS NUEVOS, LAS COTIZACIONES
AUN SIN REVISAR</t>
  </si>
  <si>
    <t xml:space="preserve">SIN INFORMACION RELEVANTE SOLO QUIERE QUE
 LE SOLUCIONEN YA QUE TIENEN APROXIMADAMENTE 
6 MESES Y AUN NO SE LAS HAN ENTREGADO
</t>
  </si>
  <si>
    <t>YA REVISARON COTIZACION Y ESTA EN APROBACION DE O.C</t>
  </si>
  <si>
    <t>SIN INFORMACION RELEVANTE AUN DE REPOSO LA COMPRADOR</t>
  </si>
  <si>
    <t>NUEVOS REQUERIMIENTOS</t>
  </si>
  <si>
    <t>SIN INFORMACION RELEVANTE, LE ESTARA ENVIANDO NUEVOS
REQUERIMIENTOS</t>
  </si>
  <si>
    <t xml:space="preserve">LA COMPRADORA LE PIDIO INFORMACION PARA ABRIR CODIGO </t>
  </si>
  <si>
    <t>LE COMENTO QUE EL TIEMPO DE ENTREGA NO LE CONVIENE</t>
  </si>
  <si>
    <t>AUN ESTAN PENDIENTE DE REVISAR LAS COTIZACIONES</t>
  </si>
  <si>
    <t>ESTA A LA ESPERA DE LAS MUESTRA DE COLORANTES</t>
  </si>
  <si>
    <t>SIN REQUERIMIENTOS NUEVOS, AUN ESTA PENDIENTE EL REQUERIMIENTO ANTERIOR</t>
  </si>
  <si>
    <t>SIN INFORMACION RELEVANTE, QUE MEJORE PRECIOS</t>
  </si>
  <si>
    <t>PERDIO UNA COTIZACION POR PRECIO, LE INFORMO QUE OTRO
PROVEEDOR LE ENVIO UN PRECIO MUY POR DEBAJO</t>
  </si>
  <si>
    <t>PERDIO LA COTIZACION DE TOALLAS POR PRECIO, CONSIGUIO PRECIO MAS BAJO (AL PARECER DIRECTAMENTE CON FABRICA DE AMA DE CASA)</t>
  </si>
  <si>
    <t>LA REVISARA Y LE ESTARA INFORMANDO</t>
  </si>
  <si>
    <t>EN LA ESPERA DE RESPUESTA DE USUARIOS PARA COTIZAR 
REQUERIMIENTOS</t>
  </si>
  <si>
    <t>AUN ESTAN PENDIENTE DE ENVIAR LAS O.C</t>
  </si>
  <si>
    <t>EN ESPERA DE FIRMA PARA QUE ENVIEN CODIGO</t>
  </si>
  <si>
    <t>EN ESPERA DE FIRMA PARA QUE ENVIEN CODIGO PARA APROBAR O.C</t>
  </si>
  <si>
    <t>SIN REPUESTA DE COMPRADOR</t>
  </si>
  <si>
    <t>LE INDICO QUE YA HABIAN COMPRADO REQ. ANTERIOR Y 
PIDIO QUE COTIZARA LO REQUERIDO</t>
  </si>
  <si>
    <t>LE INDICO QUE BAJARA PRECIO AL QUIMICO YA QUE ESTA ALTO</t>
  </si>
  <si>
    <t>SIN REPUESTA DE COMPRADOR(ESCRIBIO AL CORREO)</t>
  </si>
  <si>
    <t>RUTH</t>
  </si>
  <si>
    <t>DOLISMAR</t>
  </si>
  <si>
    <t>DELIS CORRERO</t>
  </si>
  <si>
    <t>Dialogar con comprador para informar 
sobre estatus de productos de O.C</t>
  </si>
  <si>
    <t xml:space="preserve">MANGUERA PLATEADA PAN-10X1.5- SI MARCA FESTO 152701 </t>
  </si>
  <si>
    <t xml:space="preserve">TUBO FLEXIBLE PUN-H-6X1 BL FESTO 197384 </t>
  </si>
  <si>
    <t>Ehdis Digital LCD Foto Tacómetro sin Contacto RPM de velocidad del Motor</t>
  </si>
  <si>
    <t>Balancer Herramienta Fixtures titular Hanging 3 – 5 kg</t>
  </si>
  <si>
    <t>018F6714 Bobina de solenoide Danfoss, tipo BE220BS</t>
  </si>
  <si>
    <t>637140-A4 Kit de reparación de bomba de diafragma</t>
  </si>
  <si>
    <t xml:space="preserve">Manguera neumatica 8 mm azul Festo </t>
  </si>
  <si>
    <t xml:space="preserve">Manguera neumatica 12 mm azul Festo </t>
  </si>
  <si>
    <t xml:space="preserve">Manguera neumatica 6mm Azul Festo </t>
  </si>
  <si>
    <t xml:space="preserve">Manguera neumatica 6mm azul Festo </t>
  </si>
  <si>
    <t>QSL-1/2-12 Festo Push-in 153054</t>
  </si>
  <si>
    <t>QSL-1/4-10 Festo Push-in 153051</t>
  </si>
  <si>
    <t>QSL-1/4-8 Festo Push-in 153049</t>
  </si>
  <si>
    <t>QS-1/2-12 Festo Push-in 153010</t>
  </si>
  <si>
    <t>QS-1/4-10 Festo Push-in 153007</t>
  </si>
  <si>
    <t>QS-1/4-6 Festo Push-in 153003</t>
  </si>
  <si>
    <t>QS-1/4-8 Festo Push-in 153005</t>
  </si>
  <si>
    <t>QS-1/8-8 Festo Push-in  153004</t>
  </si>
  <si>
    <t>FRC-1/2-D-MIDI Festo 159590</t>
  </si>
  <si>
    <t>MFH-5-1/8 Festo Solenoid valve</t>
  </si>
  <si>
    <t>QS-1/8-6 Festo Push-in 153002</t>
  </si>
  <si>
    <t xml:space="preserve">Manguera neumatica 16mm azul festo </t>
  </si>
  <si>
    <t xml:space="preserve">Manguera neumatica 10mm azul </t>
  </si>
  <si>
    <t xml:space="preserve">Ingersoll Rand 637141 Kit de servicio </t>
  </si>
  <si>
    <t>GULF CROWN MP GREASE MP1/MP2</t>
  </si>
  <si>
    <t>N° Requerimiento</t>
  </si>
  <si>
    <t>ACEITE ROTO EXTEND 2901-1701-00 ATLAS COPCO PAILA</t>
  </si>
  <si>
    <t>Brady 65289 Kit de bloqueo portátil, válvula eléctrica</t>
  </si>
  <si>
    <t>Termómetro bimetálico Dwyer, BTA54010D, 0-200°F</t>
  </si>
  <si>
    <t>Manometro  2-1/2 in 0-100 psi C/T 1/4 npt</t>
  </si>
  <si>
    <t>Manometro 0/300 psi 2 1/2 c trras 1/4 A/I</t>
  </si>
  <si>
    <t>JDL36200 Square D 3P 200A 600V interruptor de circuito</t>
  </si>
  <si>
    <t>BOQUILLA P/CODIF. UHS VIDEOJET SP356666</t>
  </si>
  <si>
    <t>BOQUILLAS 66 U - SP371675 - VIDEOJET</t>
  </si>
  <si>
    <t xml:space="preserve">CILINDRO ISO DSNN-25-25- PA 19219 FESTO </t>
  </si>
  <si>
    <t xml:space="preserve">CILINDRO NORMALIZADO DSNU-25-25-PPV-A 33975 FESTO </t>
  </si>
  <si>
    <t>TRANSMISOR DE NIVEL 4361853 WIKA TIPO SA-11  </t>
  </si>
  <si>
    <t>INDUSTRIAS ALIMENTICIAS ITALIA C.A</t>
  </si>
  <si>
    <t>VARIADOR DE FRECUENCIA DANFOSS 175Z0025</t>
  </si>
  <si>
    <t>VARIADOR DE FRECUENCIA DANFOSS 175Z0001</t>
  </si>
  <si>
    <t>VARIADOR DE FRECUENCIA DANFOSS 175Z0013</t>
  </si>
  <si>
    <t>BATERIA PARA LAPTOP DELL LATITUDE E5470</t>
  </si>
  <si>
    <t xml:space="preserve">BATERIA UPS 12VDC 7AH </t>
  </si>
  <si>
    <t xml:space="preserve">MOUSE OPTICO  MARCA HP </t>
  </si>
  <si>
    <t xml:space="preserve">ENVOPLAS DE 4KG 20MICRAS 50CM DE ANCHO </t>
  </si>
  <si>
    <t xml:space="preserve">BOMBA DOSIFICADORA MILTON ROY PD 051-828SI </t>
  </si>
  <si>
    <t>(0241) 6134446 0414-3588207</t>
  </si>
  <si>
    <t>Estado/ Ciudad</t>
  </si>
  <si>
    <t>Maracay</t>
  </si>
  <si>
    <t>Valencia</t>
  </si>
  <si>
    <t>Araure, Portuguesa</t>
  </si>
  <si>
    <t>Maracaibo</t>
  </si>
  <si>
    <t>Acarigua</t>
  </si>
  <si>
    <t>Caracas</t>
  </si>
  <si>
    <t>Barquisimeto</t>
  </si>
  <si>
    <t>Barinas</t>
  </si>
  <si>
    <t>San Joaquin</t>
  </si>
  <si>
    <t>Chivacoa</t>
  </si>
  <si>
    <t>San Cristobal</t>
  </si>
  <si>
    <t>SOLO 5 ITEM RECIBIO O.C LAL0081562 (MONTO TOTAL: 6821,34 $)</t>
  </si>
  <si>
    <t>GULF EP LUBRICANT HD 220 TB 2008LTS</t>
  </si>
  <si>
    <t>OVOMAR C.A</t>
  </si>
  <si>
    <t>PAILA DE ACEITE HARMONY 68 GULF</t>
  </si>
  <si>
    <t>O.C 3510/ NO GANO ESTE ITEM</t>
  </si>
  <si>
    <t xml:space="preserve">CORPORACION INLACA, C.A </t>
  </si>
  <si>
    <t>SOLO GANO 1 ITEM ( COTIZACION TOTAL 20.602,41$ )</t>
  </si>
  <si>
    <t>SOLO GANO 11 ITEM (COTIZACION TOTAL 601,32)</t>
  </si>
  <si>
    <t>Perdido por precio</t>
  </si>
  <si>
    <t xml:space="preserve">SELLO MECANICO TIPO C 5/8 PARA AGUA </t>
  </si>
  <si>
    <t>TUBO DE PLASTICO PUN-H-8X1.25 FESTO 197385</t>
  </si>
  <si>
    <t xml:space="preserve">RACOR QSL-1/2"-12 FESTO 153054 </t>
  </si>
  <si>
    <t>RACOR QSL-1/8-8 FESTO 153048</t>
  </si>
  <si>
    <t>CARTUCHO FILTRANTE LFD-MIDI-5M FESTO 159594</t>
  </si>
  <si>
    <t>RACOR QSL-1/8-6 FESTO 153046</t>
  </si>
  <si>
    <t>RACOR QS-1/8-6 FESTO 153002</t>
  </si>
  <si>
    <t>RACOR QS-8 FESTO 153033</t>
  </si>
  <si>
    <t xml:space="preserve">CONTACTOR TRIPOLAR ABB  AF300-30-11-70 </t>
  </si>
  <si>
    <t xml:space="preserve">RODAMIENTOS 6203 SKF </t>
  </si>
  <si>
    <t>PRESOSTATO TYPE RT116 15-140 PSI 017-520366</t>
  </si>
  <si>
    <t xml:space="preserve">PERTIGA 8 CUERPOS MARCA HASTINGS </t>
  </si>
  <si>
    <t>RODAMIENTOS RIG. BOLAS 6205-2Z/C3 SKF</t>
  </si>
  <si>
    <t xml:space="preserve">RODAMIENTO RIG. BOLAS 6203-2Z/C3 SKF </t>
  </si>
  <si>
    <t xml:space="preserve">RODAMIENTO RIG. BOLAS 6202-2RSH/C3 SKF </t>
  </si>
  <si>
    <t xml:space="preserve">RODAMIENTO. RIG BOLAS 6203-2RSH/C3 SKF </t>
  </si>
  <si>
    <t xml:space="preserve">RODAMIENTO RIG. BOLAS 6201-2RSH/C3 SKF </t>
  </si>
  <si>
    <t xml:space="preserve">RODAMIENTO RIG. BOLAS 6205-2RSH/C3 SKF </t>
  </si>
  <si>
    <t xml:space="preserve">SELLO MECANICO VAR 21 1" VITON </t>
  </si>
  <si>
    <t>BOBINA 110 V FESTO MSFW-110AC</t>
  </si>
  <si>
    <t>SENSOR INDUCTIVO XS7C4A1MPG13</t>
  </si>
  <si>
    <t>SENSOR INDUCTIVO 30MM 2 HILOS TELEM. XS630B1MAL2</t>
  </si>
  <si>
    <t>Termómetro bimetálico Dwyer, BTA54010D, 0-200°F A/I</t>
  </si>
  <si>
    <t>Manometro 2-1/2 in 0-100 psi C/T 1/4 npt A/I</t>
  </si>
  <si>
    <t>SENSOR FLUJO SI2000 SIS30ABBFPKG</t>
  </si>
  <si>
    <t>Allen Bradley 1606-XLE240E-3  fuente de alimentación 380/480 Vac</t>
  </si>
  <si>
    <t>DBSF-C-50-550-PPVA-N3-R 570079 C508 pmax 12bar</t>
  </si>
  <si>
    <t>DSBF-C-32-80-PPVA-N3-R 1773755 E808 pmax. 12bar (FESTO)</t>
  </si>
  <si>
    <t>UNIDAD DE MANTENIIMIENTO FRL NEUMATICO DE 1/2 159590</t>
  </si>
  <si>
    <t>Mfh-5-1/4 6211 mfh514 Festo Válvula De Solenoide</t>
  </si>
  <si>
    <t>Signode 003450 Tensor De Flejado, Manual</t>
  </si>
  <si>
    <t>Elitech LogEt 8 EL Registrador de datos de temperatura y humedad Sensor</t>
  </si>
  <si>
    <t>Celda De Carga Celtron lcd-50k</t>
  </si>
  <si>
    <t>BOMBA KSB MEGANORM MODELO 125-080-250</t>
  </si>
  <si>
    <t xml:space="preserve">SENSOR PROXIMIDAD MARKEM IMAJE 24VDC </t>
  </si>
  <si>
    <t>BLOQUE PARA MINI RELE ALLEN BRADLEY 24 V AC/DC MOD 700-HLT1U24</t>
  </si>
  <si>
    <t>Relé de alimentación Cat 700-TBR24 6A 250VAC 24VDC 5 Pines</t>
  </si>
  <si>
    <t>Sensor foto eléctrico VS/VE18-4P3212 Marca Sick</t>
  </si>
  <si>
    <t>1310-0368-38 Aceite Roto Extend de 5 galones</t>
  </si>
  <si>
    <t>Brady estación de bloqueo de 134035, 7-1/2" H</t>
  </si>
  <si>
    <t>1846-5</t>
  </si>
  <si>
    <t>CONSORCIO CREDICARD</t>
  </si>
  <si>
    <t>Cartuchos de datos LTO 4</t>
  </si>
  <si>
    <t>Cartuchos de datos LTO 7</t>
  </si>
  <si>
    <t>1845-5</t>
  </si>
  <si>
    <t>N° O.C</t>
  </si>
  <si>
    <t>PRODUCTO EN STOCK</t>
  </si>
  <si>
    <t>GULF MAX X 20W50 TAMBOR 208 LTS (MINERAL)</t>
  </si>
  <si>
    <t>WARNER ELECTRIC CB6/CW/20MM/1ST/24V PART 316-17-065</t>
  </si>
  <si>
    <t>S/O</t>
  </si>
  <si>
    <t>SOLO 2 ITEM RECIBIDO O.C LAL0081606 (MONTO TOTAL:1461,16)</t>
  </si>
  <si>
    <t>SOLO 1 ITEM RECIBIO O.C LDI0026522 (MONTO TOTAL:1461,16) EL COMPLEMENTO LO RECIBIO EL 14-5</t>
  </si>
  <si>
    <t xml:space="preserve">LAL0081509 </t>
  </si>
  <si>
    <t>LAL0081423</t>
  </si>
  <si>
    <t>LAL0081013 :1316,6/LAL0081016:1555,12</t>
  </si>
  <si>
    <t>OVOMAR, C.A</t>
  </si>
  <si>
    <t xml:space="preserve">PROGRAMADOR DIGITAL 7840 G 1022 HONEYWELL </t>
  </si>
  <si>
    <t>TV BOX XIAOMI S</t>
  </si>
  <si>
    <t>3-4 dias</t>
  </si>
  <si>
    <t xml:space="preserve">CINTA TEFLON 5453 3M </t>
  </si>
  <si>
    <t>VARIADOR DE VELOCIDAD ATV31H075M2A, 240 V, 1 HP (0.75 KW)</t>
  </si>
  <si>
    <t>VARIADOR DE FRECUENCIA 1.5 KW, 2 HP, 200-240 V, ATV312HU15M2 SCHNEIDER</t>
  </si>
  <si>
    <t>CINTA SCOTCH 3M TIPO 610</t>
  </si>
  <si>
    <t>MOTOREDUCTOR S47DT63L4/BMG KW 0,37 (12 SEMANAS)</t>
  </si>
  <si>
    <t>MOTOREDUCTOR S47DT63L4/BMG KW 0,37 (5 SEMANAS)</t>
  </si>
  <si>
    <t xml:space="preserve"> Allen-Bradley Compactlogix 1769-L24ER - qbfc 1B 750KB</t>
  </si>
  <si>
    <t>McDonnell &amp; Miller 157S-M 157S-M alto nivel de presión</t>
  </si>
  <si>
    <t>Honeywell,  V4055A1031 Actuador de válvula de gas</t>
  </si>
  <si>
    <t xml:space="preserve"> Modutrol Honeywell M9484E1033 </t>
  </si>
  <si>
    <t xml:space="preserve">Ingersoll Rand 39911631 Filtro de aceite </t>
  </si>
  <si>
    <t xml:space="preserve"> Ingersoll Rand del refrigerante Filtro 39329602 </t>
  </si>
  <si>
    <t>24121212  Ingersoll Rand Separador Filtro</t>
  </si>
  <si>
    <t>Filtro Original Ingersoll Rand 88171913</t>
  </si>
  <si>
    <t>Festo dfpd - 300-RP-90-RD-F0710 8048126 Cuarto De Vuelta Actuador</t>
  </si>
  <si>
    <t>FESTO 159590 FRC-1/2-D - unidad de servicio</t>
  </si>
  <si>
    <t>Adash America A4900 Medidor de Vibración vibrio M y recopilador</t>
  </si>
  <si>
    <t>Lenovo 100 Auricular 4XD0X88524</t>
  </si>
  <si>
    <t>TONER DE TIPO TK-3172 PARA EQUIPOS KYOCERA</t>
  </si>
  <si>
    <t>Cartucho de Tóner Negro Genuino Kyocera TK-6327</t>
  </si>
  <si>
    <t>MULTINACIONAL DE SABORES C.A</t>
  </si>
  <si>
    <t>ALIMENTOS SUPER-S C.A</t>
  </si>
  <si>
    <t>NUEVO REQUERIMIENTO</t>
  </si>
  <si>
    <t>Para informar sobre la cotizacion enviada</t>
  </si>
  <si>
    <t>Perdida la cotizacion consiguio mejor precio</t>
  </si>
  <si>
    <t>BARCELONA</t>
  </si>
  <si>
    <t>Le dio informacion que requeria para poder cotizar su requerimiento</t>
  </si>
  <si>
    <t>Le informo que perdio algunas cotizaciones, y que enviara nueva O.C</t>
  </si>
  <si>
    <t>LAL0081618</t>
  </si>
  <si>
    <t>LAL0081620</t>
  </si>
  <si>
    <t>SOLO EL ITEM 13 (REQ: 493236) RECBIO O.C LAL0080908 MONTO TOTAL: 26.762,35$</t>
  </si>
  <si>
    <t>k</t>
  </si>
  <si>
    <t>f</t>
  </si>
  <si>
    <t>1 solo ITEM 337,25</t>
  </si>
  <si>
    <t>DEL 1ER ITEM solo 1 (TOTAL 2570,82$)</t>
  </si>
  <si>
    <t>FIRESTONE</t>
  </si>
  <si>
    <t xml:space="preserve">Ayudar con la factura que tiene pendiente </t>
  </si>
  <si>
    <t>MAIRE</t>
  </si>
  <si>
    <t>REVISARA LO PENDIENTE Y LE ESTARA INFORMANDO</t>
  </si>
  <si>
    <t>Extech 407860 Digital Kit de Medidor de Vibración</t>
  </si>
  <si>
    <t>SOLO COMPRO 1 UNIDAD</t>
  </si>
  <si>
    <t>SODA CAUSTICA LIQUIDA AL 50% KG</t>
  </si>
  <si>
    <t>Fuente de alimentación 24V Schneider electric ABL8 RPS24</t>
  </si>
  <si>
    <t>Paradas de Emergencia, con base doble contac 2NC, modelo XB5AS8445 de schneider.</t>
  </si>
  <si>
    <t>Caja vacía para paradas de emergencia, amarilla con base blanca modelo: XALK01 de schneider 22mm</t>
  </si>
  <si>
    <t>Guardamotor Schneider GV3P40 termomagnético - AC-3 - 30-40A - 100kA - 3P</t>
  </si>
  <si>
    <t>Contacto Schneider GVAE11 Contacto auxiliar frontal - 1NA+1NC</t>
  </si>
  <si>
    <t>Medidor de vibraciones - Temperatura Fluke 805 FC-805 ES</t>
  </si>
  <si>
    <t>Sensor foto eléctrico VS/VE18-4P3212 Marca SICK</t>
  </si>
  <si>
    <t>Conector de cable de bloqueo Hembra BRYANT CS6364N 50A 125/250 voltios 3 polos 4 Cables)</t>
  </si>
  <si>
    <t>Conector de cable de bloqueo Hembra BRYANT 30A 125/250 voltios 3 polos 4 Cables</t>
  </si>
  <si>
    <t>Fuente Schneider ABL8RPS24050 Regulated Switch Power Supply, 1 or 2-phase, 100..500V, 24V, 5 A</t>
  </si>
  <si>
    <t>Fuente Schneider ABL8RPS24100 Regulated Switch Power Supply, 1 or 2-phase, 100..500V, 24V, 10 A</t>
  </si>
  <si>
    <t>Contactor Schneider electric modelo LC1F185M7</t>
  </si>
  <si>
    <t>Contactor Schneider electric modelo LC1D18M7</t>
  </si>
  <si>
    <t>Contactor Schneider electric modelo LC1D38M7</t>
  </si>
  <si>
    <t>Contactor Schneider electric modelo LC1D50M7</t>
  </si>
  <si>
    <t>Contactor Schneider electric modelo LC1D225M7</t>
  </si>
  <si>
    <t>25881.</t>
  </si>
  <si>
    <t>25950.</t>
  </si>
  <si>
    <t>26211.</t>
  </si>
  <si>
    <t>26216.</t>
  </si>
  <si>
    <t>26679.</t>
  </si>
  <si>
    <t>26679..</t>
  </si>
  <si>
    <t>26679…</t>
  </si>
  <si>
    <t>26679….</t>
  </si>
  <si>
    <t>SINTHESIS C.A</t>
  </si>
  <si>
    <t>ISOBUTIL DE METACRILATO (kg)</t>
  </si>
  <si>
    <t>ACRILATO DE BUTIL (KG)</t>
  </si>
  <si>
    <t>PTHF 650 (POLY - TETRAHIDROFURANO) KG</t>
  </si>
  <si>
    <t>TRIMETILOLPROPANO TMP DESCRIPCIÓN</t>
  </si>
  <si>
    <t>ACETATO DE BUTILO</t>
  </si>
  <si>
    <t>45 dias</t>
  </si>
  <si>
    <t>45 Dias</t>
  </si>
  <si>
    <t>CONTROLADOR DE TEMP.ANC MOD:ND645-1301</t>
  </si>
  <si>
    <t>CONTROLADOR DE POTENCIA CDRA1M 480V 035A </t>
  </si>
  <si>
    <t>CONTROLADOR DE POTENCIA CDRA1M 480V 063A</t>
  </si>
  <si>
    <t>AMPLIFICADOR DE PONTECIA AMN-D-20T YUKEN</t>
  </si>
  <si>
    <t>COMERCIALIZADORA 2014, C.A</t>
  </si>
  <si>
    <t>TRANSPALETA DE 2000KG MARCA GENPAR</t>
  </si>
  <si>
    <t>Signode 020500 Modelo th-114</t>
  </si>
  <si>
    <t>Nidec Corp Sm-Uni-Codificador/smuniencoder</t>
  </si>
  <si>
    <t>10GPM</t>
  </si>
  <si>
    <t>Electrico Diesel Bomba de Transferencia</t>
  </si>
  <si>
    <t>Festo 153002 Qs-1/8-6 Push</t>
  </si>
  <si>
    <t>Festo conector QSL-1/8-6 153046</t>
  </si>
  <si>
    <t>FESTO 163433 DNC-80-25-PPV-A</t>
  </si>
  <si>
    <t>Cilindro de aire Festo DNC-80-120-PPV-A</t>
  </si>
  <si>
    <t>Festo QSL-1/4-10 153051</t>
  </si>
  <si>
    <t>3LHBLU</t>
  </si>
  <si>
    <t>Master Lock 3 lhblu bloqueo candado, KD, Azul, 1-1/4"H</t>
  </si>
  <si>
    <t>2 Dias</t>
  </si>
  <si>
    <t>TERMOMETRO LASER</t>
  </si>
  <si>
    <t>PINZA AMPERIMETRICA</t>
  </si>
  <si>
    <t>ALICATE DE PRESION 10R VISE GRIP</t>
  </si>
  <si>
    <t>ALICATE DE CADENA VISE GRIP</t>
  </si>
  <si>
    <t>JUEGO DE LLAVES COMBINADAS MM 14PZA IRIMO</t>
  </si>
  <si>
    <t>LLAVE AJUSTABLE 18" IRIMO</t>
  </si>
  <si>
    <t>REMACHADORA MANUAL BELLOTA</t>
  </si>
  <si>
    <t>TORQUIMETRO 150LBR</t>
  </si>
  <si>
    <t>PISTOLA PARA PINTAR ALTA PRESION MARCA SUPERIOR</t>
  </si>
  <si>
    <t>VERNIER MARCA RUN</t>
  </si>
  <si>
    <t>MAQUINA DE ELECTROSOLDADURA 14000W 80-250</t>
  </si>
  <si>
    <t>KIT DE PISTOLA PARA PINTAR CON COMPRESOR DE AIRE</t>
  </si>
  <si>
    <t>MANOMETRO MARCA UNIWELD</t>
  </si>
  <si>
    <t>JUEGO DE DESTORNILLADORES AISLADOS</t>
  </si>
  <si>
    <t>kit sello cilindro Neumatico dnc-40 369196 festo</t>
  </si>
  <si>
    <t>FESTO DNC-50-PPV-A 369197 Cilindro de aire Kit de man</t>
  </si>
  <si>
    <t>FESTO DNC-63-PPV-A 369198 Cilindro de aire Kit</t>
  </si>
  <si>
    <t>FESTO DNC-100-PPV-A 369200 Kit De Mantenimiento</t>
  </si>
  <si>
    <t>CADENA SIMPLE DE PASO 100 MARCA BRYCO</t>
  </si>
  <si>
    <t>CADENA SIMPLE DE PASO 100 MARCA CVP</t>
  </si>
  <si>
    <t>V.F MARCA LENZE EVS9322-EP DE 3 PH 400- 480</t>
  </si>
  <si>
    <t>MEGAPET</t>
  </si>
  <si>
    <t>ROD02732</t>
  </si>
  <si>
    <t>MEGAPET, C.A</t>
  </si>
  <si>
    <t>RODAMIENTO 2212E-2RS1TN9 SKF</t>
  </si>
  <si>
    <t>SAL REFINADA X KG (20KG)</t>
  </si>
  <si>
    <t>B120376</t>
  </si>
  <si>
    <t>P551402</t>
  </si>
  <si>
    <t>Filtro Donaldson B120376</t>
  </si>
  <si>
    <t>Filtro Aceite Donaldson P551402</t>
  </si>
  <si>
    <t>REALIZO NUEVA COTIZACION</t>
  </si>
  <si>
    <t>SERVICE KIT EPDM 9611922076</t>
  </si>
  <si>
    <t>Spare Parts 9611922206</t>
  </si>
  <si>
    <t>Kit de servicio de bomba LKH 10 9611922076 Marca Sprin</t>
  </si>
  <si>
    <t>LKH 10, 15 Bomba Kit de servicio 9611922206 Marca Sprin</t>
  </si>
  <si>
    <t>BOMBA PARA MANEJO DE GASOIL MARCA BILTEC</t>
  </si>
  <si>
    <t>EL 19-5 ENVIO COTIZACION 344,64$ Y MEJORO EL PRECIO POR ESTA COTIZACION</t>
  </si>
  <si>
    <t>AI3091490</t>
  </si>
  <si>
    <t>Lampara Equus (EPI5568)</t>
  </si>
  <si>
    <t>ATV312H075N4</t>
  </si>
  <si>
    <t>Variador de frecuencia ATV312H075N4 – 440V, 1HP, Schn</t>
  </si>
  <si>
    <t>VALVULA 3/4" PVC SOLDABLE, PARA PRESION 60 - 80 PSI</t>
  </si>
  <si>
    <t>Total</t>
  </si>
  <si>
    <t>LAL0081654</t>
  </si>
  <si>
    <t>MODIFIQUE EL PRECIO DE LA COTIZACION ENVIADA</t>
  </si>
  <si>
    <t>EL MONTO COTIZADO FUE DE 1954 LA OC ES DE 2050</t>
  </si>
  <si>
    <t>EL 19-5 ENVIO COTIZACION 344,64$ Y MEJORO EL PRECIO POR ESTA COTIZACION DE 335</t>
  </si>
  <si>
    <t>Festo Sello Kit DNG-160-PPV-A (121692)</t>
  </si>
  <si>
    <t>SC511520</t>
  </si>
  <si>
    <t xml:space="preserve">637140-A4 </t>
  </si>
  <si>
    <t>N° de Cotizaciones
 Enviadas</t>
  </si>
  <si>
    <t>N° de Cotizaciones
 Perdidas</t>
  </si>
  <si>
    <t>N° de Despachos</t>
  </si>
  <si>
    <t>Alcance/Meta
(%)</t>
  </si>
  <si>
    <t>N° de
Despachos</t>
  </si>
  <si>
    <t>Monto Total de Cotizaciones Perdidas ($)</t>
  </si>
  <si>
    <t>Monto Total de Cotizaciones Enviadas ($)</t>
  </si>
  <si>
    <t>Monto Total
de O.C ($)</t>
  </si>
  <si>
    <t>META
($)</t>
  </si>
  <si>
    <t>Mes
Cotizacion</t>
  </si>
  <si>
    <t>Mes
O.C</t>
  </si>
  <si>
    <t>Mes</t>
  </si>
  <si>
    <t>Marzo</t>
  </si>
  <si>
    <t>MARZO</t>
  </si>
  <si>
    <t>Enero</t>
  </si>
  <si>
    <t>Febrero</t>
  </si>
  <si>
    <t>Abril</t>
  </si>
  <si>
    <t>Mayo</t>
  </si>
  <si>
    <t>Total General</t>
  </si>
  <si>
    <t>MAYO</t>
  </si>
  <si>
    <t>ABRIL</t>
  </si>
  <si>
    <t>ENERO</t>
  </si>
  <si>
    <t>FEBRERO</t>
  </si>
  <si>
    <t>Junio</t>
  </si>
  <si>
    <t>Julio</t>
  </si>
  <si>
    <t>Agosto</t>
  </si>
  <si>
    <t>Septiembre</t>
  </si>
  <si>
    <t>Octubre</t>
  </si>
  <si>
    <t>Noviembre</t>
  </si>
  <si>
    <t>Diciembre</t>
  </si>
  <si>
    <t>JUNIO</t>
  </si>
  <si>
    <t>AGOSTO</t>
  </si>
  <si>
    <t>SEPTIEMBRE</t>
  </si>
  <si>
    <t>OCTUBRE</t>
  </si>
  <si>
    <t>NOVIEMBRE</t>
  </si>
  <si>
    <t>DICIEMBRE</t>
  </si>
  <si>
    <t>Barcelona</t>
  </si>
  <si>
    <t>Villa de Cura</t>
  </si>
  <si>
    <t>Promedio
Monto Cotizado
($)</t>
  </si>
  <si>
    <t>Conocer Comprador 
Y Entregar factura pendiente</t>
  </si>
  <si>
    <t xml:space="preserve">CONSIGUIO NRO Y CORREO DE COMPRADOR </t>
  </si>
  <si>
    <t>CONSIGUIO NRO Y CORREO DE COMPRADOR
LE ABRIRAN CODIGO CON IMPRO.</t>
  </si>
  <si>
    <t>Nuevos Clientes</t>
  </si>
  <si>
    <t>N° de Visitas
con Resultados</t>
  </si>
  <si>
    <t>Promedio de
llamadas al día</t>
  </si>
  <si>
    <t>Sin nuevas solicitudes</t>
  </si>
  <si>
    <t>Region/Ciudad</t>
  </si>
  <si>
    <t>Nueva Solicitud</t>
  </si>
  <si>
    <t>Entregar Productos</t>
  </si>
  <si>
    <t>Total Meta</t>
  </si>
  <si>
    <t>1827-5</t>
  </si>
  <si>
    <t>LAL0081227</t>
  </si>
  <si>
    <t>en valery es v04</t>
  </si>
  <si>
    <t>1000064661.</t>
  </si>
  <si>
    <t>2105628 DPD Total Chlorine</t>
  </si>
  <si>
    <t>2105528 DPD Free Chlorine</t>
  </si>
  <si>
    <t>GULF HARMONY AW 68 TAMBOR 208 LTS</t>
  </si>
  <si>
    <t>GULF HARMONY AW 32 TB 208 LTS</t>
  </si>
  <si>
    <t>Hanna Instruments HI 98130 impermeable PH/conductivida</t>
  </si>
  <si>
    <t>Parker 201402 Solenoide Bobina 240v 60hz</t>
  </si>
  <si>
    <t>BOBINA MCA:PARKER 240VOLTS. TIPO: G23</t>
  </si>
  <si>
    <t>VENARROZ R.S.A. C.A.</t>
  </si>
  <si>
    <t>RACOR CAUDAL 1/2" X 8MM</t>
  </si>
  <si>
    <t>RACOR CAUDAL 1/4" X 6MM</t>
  </si>
  <si>
    <t>RACOR CAUDAL 1/4" X 8MM</t>
  </si>
  <si>
    <t>RACOR CAUDAL 1/8" X 6MM</t>
  </si>
  <si>
    <t>RACOR CAUDAL 1/8" X 8MM</t>
  </si>
  <si>
    <t>CILINDRO NEUMATICO DOBLE EFECTO 32X100MM</t>
  </si>
  <si>
    <t>INDUSTRIAS DE ALIMENTOS EL TREBOL, S.A.</t>
  </si>
  <si>
    <t>1203-GD1</t>
  </si>
  <si>
    <t>MODULO DE COMUNICACIÓN RIO ALLEN BRADLEY CAT</t>
  </si>
  <si>
    <t>CORREAS 5V 1180 MARCA GATES</t>
  </si>
  <si>
    <t>Goodyear 1280-8M-50 1280MM X 8MM Pitch X 50 mm</t>
  </si>
  <si>
    <t>PROCESADOR CORE I7 2600 3.4GHZ LGA 1155 4 NUCL</t>
  </si>
  <si>
    <t>Apollo 543 eebkmaa 0150 Pop Válvula de seguridad, 1 X 1-1</t>
  </si>
  <si>
    <t>solo 1 item MONTO TOTAL: 825,11 LAL0081734</t>
  </si>
  <si>
    <t>LAL0081729</t>
  </si>
  <si>
    <t xml:space="preserve">AL FINAL NO LA REQUIRIERON </t>
  </si>
  <si>
    <t>SIN RESPUESTA DEL COMPARDOR</t>
  </si>
  <si>
    <t>PERDIDO POR COTIZAR PRODUCTO EQUIVOCADO (JESUS)</t>
  </si>
  <si>
    <t>AG4010140</t>
  </si>
  <si>
    <t>Kopflex 2282275 1100T10 KF ACOPLAMIENTOS DE REJI</t>
  </si>
  <si>
    <t>kenelly</t>
  </si>
  <si>
    <t>Para informar sobre la cotizacion pendiente</t>
  </si>
  <si>
    <t>MANOMETRO 232.54 WIKA 9744924</t>
  </si>
  <si>
    <t>MANOMETRO 0-160 PSI 9734737 WIKA</t>
  </si>
  <si>
    <t>MANOMETRO 213.40 9318038 WIKA</t>
  </si>
  <si>
    <t>MANOMETRO 233.54 9745548 WIKA</t>
  </si>
  <si>
    <t>MANOMETRO 213.40 9310690 WIKA</t>
  </si>
  <si>
    <t>MANOMETRO 233.54 9744916 WIKA</t>
  </si>
  <si>
    <t>PERDIDO POR TIEMPO DE ENTREGA LO NECESITABAN DE ENTREGA INMEDIATA</t>
  </si>
  <si>
    <t>BOMBA GRUNDFOS CR 32-10-2 A-F-A-E-HQQE</t>
  </si>
  <si>
    <t>VARIADOR DE FREC. MICROMASTER 440 6SE6440-2AD27-5CA0</t>
  </si>
  <si>
    <t>LAL0081670</t>
  </si>
  <si>
    <t>3 ITEM MONTO TOTAL :4744,34$</t>
  </si>
  <si>
    <t>SOLO 7 UNIDADES</t>
  </si>
  <si>
    <t>SOLO 5 UNIDADES</t>
  </si>
  <si>
    <t>R. ESTADO SOLIDO TD48A50 OPTEC 4-32 VDC OUTPU</t>
  </si>
  <si>
    <t>RELE RXM4AB2BD TIPO PLUG-IN BOBINA 24BDC</t>
  </si>
  <si>
    <t>RELE 220 VAC DE 11 PINES CON BASE</t>
  </si>
  <si>
    <t>SENSOR RECEPTOR BEN10M-TFR2 AUTONICS</t>
  </si>
  <si>
    <t>GUARDA MOTOR TELEMECANIQUE GV2-ME10</t>
  </si>
  <si>
    <t>GUARDAMOTOR GV2-ME14 TELEMECANIQUE</t>
  </si>
  <si>
    <t>GV2ME20 GUARDAMOTOR TELEMECANIQUE</t>
  </si>
  <si>
    <t>GUARDAMOTOR MAGNETOTERMICO GV3-ME63</t>
  </si>
  <si>
    <t>LUZ PILOTO ROJO DIA 22MM AUTONICS</t>
  </si>
  <si>
    <t>PULSADOR COLOR VERDE AUTONICS</t>
  </si>
  <si>
    <t>POTENCIOMETRO 5KOHM 5 VUELTAS</t>
  </si>
  <si>
    <t>PULSADOR T/HONGO NC CON RETENCION AUTONICS</t>
  </si>
  <si>
    <t>ENCHUFE INDUSTRIAL TIPO HEMBRA VOLANTE 3 POL</t>
  </si>
  <si>
    <t>TOMA MACHO 16AMP TENSION 3 POLOS + TIERRA</t>
  </si>
  <si>
    <t>TOMACORRIENTE HEMBRA 3 POLOS MAS TIERRA 380</t>
  </si>
  <si>
    <t>TOMACORRIENTE MACHO 32AMP 3 POLOS + TIERRA</t>
  </si>
  <si>
    <t>ENCODER SICK STEGMAN DGS60-A1A01024</t>
  </si>
  <si>
    <t>ACTUADORES CON FIJACION VERTICAL 3SE5000</t>
  </si>
  <si>
    <t>VIBRADOR DE TURBINA NEUMATICA MARCA VIBCO</t>
  </si>
  <si>
    <t>VALVULA REG. D/PRESION PILOTEADA MARCA</t>
  </si>
  <si>
    <t>CONTROL DE NIVEL PARA CALDERA 171620-194</t>
  </si>
  <si>
    <t>20-25 Dias</t>
  </si>
  <si>
    <t>CARBON ACTIVADO LIGNITA MARCA CLARIMEX</t>
  </si>
  <si>
    <t>CARGR-8X30</t>
  </si>
  <si>
    <t>CARGR-8X31</t>
  </si>
  <si>
    <t xml:space="preserve">BELT B66 </t>
  </si>
  <si>
    <t>BELT C-105</t>
  </si>
  <si>
    <t>CILINDRO DOBLE EFECTO FESTO 1376657</t>
  </si>
  <si>
    <t>CILINDRO SIMPLE EFECTO FESTO 19270</t>
  </si>
  <si>
    <t>RACOR RECTO QS-8-1/2" FESTO 13051760</t>
  </si>
  <si>
    <t>TUBERIA FLEXIBLE DO. PUN-12X2 FESTO 152589</t>
  </si>
  <si>
    <t>REGULADOR DE PR LRP-1/4-10 FESTO 159502</t>
  </si>
  <si>
    <t>SOLO GANO 3 ITEM ( MONTO TOTAL 415,35 $)</t>
  </si>
  <si>
    <t>RODAMIENTO 30210 SKF</t>
  </si>
  <si>
    <t>RODAMIENTO 30208 SKF</t>
  </si>
  <si>
    <t>RODAMIENTO 32210 SKF</t>
  </si>
  <si>
    <t>RODAMIENTO CONICO 30205 CRAFT</t>
  </si>
  <si>
    <t>ESTOPERA 60 SKF</t>
  </si>
  <si>
    <t>RODAMIENTO 30304 SKF</t>
  </si>
  <si>
    <t>RODAMIENTO 6204 SKF</t>
  </si>
  <si>
    <t>RODAMIENTO 6303 SKF</t>
  </si>
  <si>
    <t>RODAMIENTO NJ308 SKF</t>
  </si>
  <si>
    <t>RODAMIENTO 6003 SKF</t>
  </si>
  <si>
    <t>RODAMIENTO 6212 FAG</t>
  </si>
  <si>
    <t>PERDIDO POR PRECIO COMPRO DIRECTO CON PROVEEDOR DE MIAMI</t>
  </si>
  <si>
    <t>MEJORO EL PRECIO CON LA COTIZACION  661 HA 89.060$</t>
  </si>
  <si>
    <t>BOMBA NEUMATICA ARO INGERSOLL-RAND PD20A-AAP-AAA-B</t>
  </si>
  <si>
    <t>LA LUCHA, C.A</t>
  </si>
  <si>
    <t>LENZE EVS9326- ES</t>
  </si>
  <si>
    <t>CONTACTOR SCHNEIDER LC1F185M7</t>
  </si>
  <si>
    <t>Breaker Siemens Trifasico VL250 3VL3725-1UH36-0AA0</t>
  </si>
  <si>
    <t>REEMPLAZO DE MOTOR VM DETROIT 27B-02916</t>
  </si>
  <si>
    <t>solo 1 item MONTO TOTAL: 1537,40 LAL0081735/LAL0081760-28-5-2021 922,44$</t>
  </si>
  <si>
    <t>ROD. RIG. BOLAS 6008-2Z BRYCO</t>
  </si>
  <si>
    <t>ROD. RIG. BOLAS 6201-2RS BRYCO</t>
  </si>
  <si>
    <t>ROD. RIG. BOLAS 6202-2RS BRYCO</t>
  </si>
  <si>
    <t>ROD. RIG. BOLAS 6203-2RS BRYCO</t>
  </si>
  <si>
    <t>ROD. RIG. BOLAS 6205-2RS BRYCO</t>
  </si>
  <si>
    <t>ROD. RIG. BOLAS 6304-2RS BRYCO</t>
  </si>
  <si>
    <t>ROD. RIG. BOLAS 6208-2RS BRYCO</t>
  </si>
  <si>
    <t>ROD. RIG. BOLAS 6211-ZNR BRYCO</t>
  </si>
  <si>
    <t>ROD. RIG. BOLAS 6206 2RS BTB</t>
  </si>
  <si>
    <t>BATERIA 6F22 9V TIANQIU</t>
  </si>
  <si>
    <t>AGRICOLA LA SUTERANA, C.A</t>
  </si>
  <si>
    <t>WILE-55</t>
  </si>
  <si>
    <t>Farmcomp Probador de humedad del grano Wile- 55</t>
  </si>
  <si>
    <t>LAL0081757</t>
  </si>
  <si>
    <t>PLUMROSE LATINOAMERICA C.A</t>
  </si>
  <si>
    <t>10020104028-1</t>
  </si>
  <si>
    <t>PLUMROSE LATINOAMERICANA, C.A</t>
  </si>
  <si>
    <t>Desbrozadora de Gasolina 52cc 2 tiempos</t>
  </si>
  <si>
    <t>AT-8X9</t>
  </si>
  <si>
    <t>Encerados Lonas. Alta Tenacidad 8X9</t>
  </si>
  <si>
    <t>Johnson Controls P352AB-3C control de presión</t>
  </si>
  <si>
    <t>HFU640UY100J</t>
  </si>
  <si>
    <t>HFU640UY100J Filter Cartridge 10 Micron 6 x 40</t>
  </si>
  <si>
    <t>RID001</t>
  </si>
  <si>
    <t>DESTAPE DE CAÑERIA K-50A</t>
  </si>
  <si>
    <t>MONTO COTIZADO POR CIUDAD</t>
  </si>
  <si>
    <t>LDI0026561 25-5/  LDI0026583 31-5</t>
  </si>
  <si>
    <t>TOTAL</t>
  </si>
  <si>
    <t>N° de Ordenes
Recibidas en el mes</t>
  </si>
  <si>
    <t>COTIZACIONES ENVIADAS POR EMPRESA / MES</t>
  </si>
  <si>
    <t>COTIZACIONES POR CIUDAD</t>
  </si>
  <si>
    <t>EL 26-5 ENVIO COTIZACION 642 Y MEJORO EL PRECIO POR ESTA COTIZACION</t>
  </si>
  <si>
    <t>chumacera P207 MARCA BRYCO (35MM)</t>
  </si>
  <si>
    <t>chumacera P207 MARCA SKF (35 MM)</t>
  </si>
  <si>
    <t>388000 Cono de sedimentación de Imhoff, SAN, volumen</t>
  </si>
  <si>
    <t>CRISOL DE PORCELANA CON TAPA</t>
  </si>
  <si>
    <t>CRONOMETRO CASIO MODELO HS-3V1RET</t>
  </si>
  <si>
    <t>BREAKER DE 1000 ML-ATSM-LOW FORM DUAL SCALE</t>
  </si>
  <si>
    <t>TERMOMETRO DE MERCURIO DE 250 °C</t>
  </si>
  <si>
    <t>PICNOMETRO DE ACERO INOXIDABLE DE 100 ML</t>
  </si>
  <si>
    <t>DISPENSADOR - JABON LÍQUIDO PLASTICO 2120-06</t>
  </si>
  <si>
    <t>3SE5000-0AV02</t>
  </si>
  <si>
    <t>3SE5000-0AV02 SIEMENS ACTUADOR</t>
  </si>
  <si>
    <t>EL 28-5 ENVIO COTIZACION 662 Y MEJORO EL PRECIO POR ESTA COTIZACION</t>
  </si>
  <si>
    <t>CORREA B-32 TIPO V</t>
  </si>
  <si>
    <t>CORREA B-34 TIPO V</t>
  </si>
  <si>
    <t>POLEA HIERRO 5" DOS CANALES TIPO V</t>
  </si>
  <si>
    <t>RELE TERMICO 5.5 A 8 amp SCHNEIDER LRD12</t>
  </si>
  <si>
    <t>CONTACTOR SCHNEIDER 10 HP BOBINA 220 V LC1D32M7</t>
  </si>
  <si>
    <t>VAR001</t>
  </si>
  <si>
    <t>VAR002</t>
  </si>
  <si>
    <t>VAR003</t>
  </si>
  <si>
    <t>LACTEOS DOÑA FLORA C.A</t>
  </si>
  <si>
    <t>VARIADOR DE FRECUENCIA SCHNEIDER 5.5K KW 7.5 HP</t>
  </si>
  <si>
    <t>VARIADOR DE FRECUENCIA SCHNEIDER 4.0 KW 5 HP</t>
  </si>
  <si>
    <t>VARIADOR DE FRECUENCIA SCHNEIDER 2.2 KW 3 HP</t>
  </si>
  <si>
    <t>LACTEOS DOÑA FLORA C.A.</t>
  </si>
  <si>
    <t>GRUPO EBENEZER</t>
  </si>
  <si>
    <t>MARYORY</t>
  </si>
  <si>
    <t>YOHANA</t>
  </si>
  <si>
    <t>INLACA</t>
  </si>
  <si>
    <t>INVERSIONES BATERIAS LIAM C.A</t>
  </si>
  <si>
    <t>SIN N° ORDEN / BATERIAS STOCK</t>
  </si>
  <si>
    <t>OSCAR TORREALBA</t>
  </si>
  <si>
    <t>SIN N° ORDEN / STOCK</t>
  </si>
  <si>
    <t>AGROSERVIC VENEMAQ, C.A</t>
  </si>
  <si>
    <t>Jabon Dalan 75Grs 3 tipos de fragancias</t>
  </si>
  <si>
    <t>S2PR-P3RAL</t>
  </si>
  <si>
    <t>S2PR-P3GAD</t>
  </si>
  <si>
    <t>PULSADOR LUMINOSO S2PR-P3RAL AUTONICS ROJO</t>
  </si>
  <si>
    <t>PULSADOR LUMINOSO S2PR-P3GAD AUTONICS VERDE</t>
  </si>
  <si>
    <t>DISCO DURO MARCA WESTER DIGITAL DE 4TB MODELO</t>
  </si>
  <si>
    <t>MONTO O.C POR CIUDAD</t>
  </si>
  <si>
    <t>Dialogar con comprador para informar 
Sobre productos cotizados</t>
  </si>
  <si>
    <t>Dialogar con comprador</t>
  </si>
  <si>
    <t>CENTRAL AZUCARERO</t>
  </si>
  <si>
    <t>EL 28-5 ENVIO COTIZACION 662 Y EL 31-5 ENVIO COTIZACION  679 MEJORO EL PRECIO POR ESTA COTIZACION</t>
  </si>
  <si>
    <t>JABON DALAN 90GRS</t>
  </si>
  <si>
    <t>SENSOR MAGNETICO D-M9BZ SMC</t>
  </si>
  <si>
    <t>CILINDRO MGPM25TF-30 SMC</t>
  </si>
  <si>
    <t>CILINDRO MGPM25-100A SMC</t>
  </si>
  <si>
    <t>FILTRO AIRE AW20-N02BE-8 1/4"</t>
  </si>
  <si>
    <t>CILINDRO MGPM25-150A SMC</t>
  </si>
  <si>
    <t>MANOMETRO 1/8” G36-10-01-L SMC 0-1.0 MPA</t>
  </si>
  <si>
    <t>CORREA CATERPILLAR 7M0185</t>
  </si>
  <si>
    <t>HECTOR MEDINA</t>
  </si>
  <si>
    <t>3-5 Week</t>
  </si>
  <si>
    <t>ELECTRO VALVULA 9964 MFH-3-1/4 24 VAC MARCA: FESTO</t>
  </si>
  <si>
    <t>153049 RACOR TIP QSL-1/4-8. MARCA FESTO. USO: INSTRUMENTACION</t>
  </si>
  <si>
    <t xml:space="preserve">ELECTRO VALVULA MFH-5-1/4-L-S-B- BOBINA 110 VAC  </t>
  </si>
  <si>
    <t xml:space="preserve">U-1/4 SILENCIADOR MODEL 2316 MARCA </t>
  </si>
  <si>
    <t xml:space="preserve">153168 RACOR QSSF1/4-10. </t>
  </si>
  <si>
    <t xml:space="preserve">SENSOR  INDUCTIVO NEN20-18GM50-E2-V1 13/10/2020 </t>
  </si>
  <si>
    <t xml:space="preserve">ELECTROVALVULA MARCA FESTO O  EQUIVALENTE  TIPO MFH-5-1/4-B-110VAC  /USO:VALVULAS </t>
  </si>
  <si>
    <t xml:space="preserve">ELECTROVALVULA 15902 MARCA FESTO TIPO MFH-5-1/4-S-B-110VAC, Nº DE PARTE C-000615. </t>
  </si>
  <si>
    <t xml:space="preserve">VARIADOR DE FRECUENCIA 1 HP POWER FLEX 22B-D2P3N104 ALLEN BRADLEY. </t>
  </si>
  <si>
    <t>22B-D6P0N104 POWER FLEX 40 VARIADOR DE FRECUENCIA 3HP MARCA ALLEN BRADLEY</t>
  </si>
  <si>
    <t>2711P-RP9D LOGIC MODULE SER A  MARCA ALLEN BRADLEY USO PANEL VIEW 1250</t>
  </si>
  <si>
    <t xml:space="preserve">6211 ELECTROV. CON MU MFH5-1/4 MARCA FESTO </t>
  </si>
  <si>
    <t xml:space="preserve">TUBO FLEXIBLE PUN-H-6X1 BL MARCA FESTO COD:197384 </t>
  </si>
  <si>
    <t>153304 RACOR QSM-M5-4.  MARCA FESTO. USO: INSTRUMENTACION</t>
  </si>
  <si>
    <t>153333 RACOR QSML-M5-4. MARCA FESTO. USO: INSTRUMENTACION</t>
  </si>
  <si>
    <t>ELECTROVALVULA MARCA FESTO TIPO MFH-3-1/4 120VAC  USO:VALVULA</t>
  </si>
  <si>
    <t xml:space="preserve">CILINDRO NORMALIZADO 33975  DOBLE EFECTO DSNU-25-25-PPV-A  </t>
  </si>
  <si>
    <t xml:space="preserve">DNC-32-50-PPV-A CILINDRO DOBLE  EFECTO MARCA FESTO COD 163307 </t>
  </si>
  <si>
    <t xml:space="preserve">ELECTROVALVULA MFH-3-1/8 24VDC MARCA FESTO ELECTROVALVULA MFH-3-1/8 24VDC </t>
  </si>
  <si>
    <t>GANO 8 ITEM (TOTAL  4227,53$)</t>
  </si>
  <si>
    <t>RODAMIENTOS NKS35</t>
  </si>
  <si>
    <t>SKF 19606 CR 50X65X8 CRW1</t>
  </si>
  <si>
    <t>SKF RODAMIENTO 6311 2RS</t>
  </si>
  <si>
    <t>S.M 3/4" TIPO 21 SILICIO,SILICIO, VITON SEALCO</t>
  </si>
  <si>
    <t>692567 Sellos de Aceite SKF 55 X 72 X 10</t>
  </si>
  <si>
    <t>562788-CR 180X210X15 HMS5 RG Sello De Aceite SKF</t>
  </si>
  <si>
    <t>SKF Polietileno, Manual De Acero Pistola Engrasadora Lagp</t>
  </si>
  <si>
    <t>S.M DE 1" TAMAÑO 21 SEALCO SILICIO,SILICIO, VITON</t>
  </si>
  <si>
    <t>SOLO 6 ITEM 3210891/ MONTO TOTAL : 3025,08 $</t>
  </si>
  <si>
    <t>COTIZO 6 Y COMPRARON 1</t>
  </si>
  <si>
    <t>LAL0081815</t>
  </si>
  <si>
    <t>Chumacera UFL001 marca VXB</t>
  </si>
  <si>
    <t>REFLECTOR P/FOTOCELDA XUZC80</t>
  </si>
  <si>
    <t>FOTOCELULA MOD. KT5W2P116 SICK</t>
  </si>
  <si>
    <t>SOLO 6 ITEM 1004/ MONTO TOTAL : 1361,11 $</t>
  </si>
  <si>
    <t>PERDIO POR MARCA</t>
  </si>
  <si>
    <t>PERDIDO POR MARCA</t>
  </si>
  <si>
    <t>FS-550 GEMS</t>
  </si>
  <si>
    <t>CLD13</t>
  </si>
  <si>
    <t>Gems Sensors Fs-550, 30641 Interruptor de flujo líquido</t>
  </si>
  <si>
    <t>ENDRESS HAUSER CLD132-PCS138HA1</t>
  </si>
  <si>
    <t>Alfa Laval 9611923021 Kit de servicio para lkla-T-085</t>
  </si>
  <si>
    <t>MTZ36JG1AVE</t>
  </si>
  <si>
    <t>Danfoss MTZ36-1VI - Model MTZ36JG1AVE Compressor</t>
  </si>
  <si>
    <t>LAL0081872</t>
  </si>
  <si>
    <t>CHUMACERA S20-16 4 HUECOS 1" MARCA BRYCO</t>
  </si>
  <si>
    <t>RODAMIENTO 205-16 BRYCO</t>
  </si>
  <si>
    <t>CHUMACERA S205-16 4 HUECOS 1" MARCA UBC</t>
  </si>
  <si>
    <t>MODULE INPUT TC 1734-IT2I POINT IO 2 CHANNEL</t>
  </si>
  <si>
    <t>SILENCIADOR MARCA FESTO, TIPO U-1/4, PN: 002316</t>
  </si>
  <si>
    <t>ATX 650 AMP CERTIFICADA 80 PLUS GLOD</t>
  </si>
  <si>
    <t>UNIDAD DE ALM. SSD 500GB SAMSUNG</t>
  </si>
  <si>
    <t>Fecha Estimada de Entrega a  Cliente</t>
  </si>
  <si>
    <t>Fecha de Despacho</t>
  </si>
  <si>
    <t xml:space="preserve">Dias
entrega </t>
  </si>
  <si>
    <t>Estatus</t>
  </si>
  <si>
    <t>&gt;</t>
  </si>
  <si>
    <t>&lt;</t>
  </si>
  <si>
    <t>B51110020</t>
  </si>
  <si>
    <t>LLEGO EL 4-6 PERO AUN NO SE DESPACHA PORQUE AUN NO HAN PAGADO</t>
  </si>
  <si>
    <t>BOMBONA DE NITROGENO 6CC 1,60MTS NUEVAS</t>
  </si>
  <si>
    <t>MANGUERA DE ALTA PRESION 300PSI 15 MTS</t>
  </si>
  <si>
    <t>MANOMETRO DE NITROGENO 0-400 PSI</t>
  </si>
  <si>
    <t>6058B</t>
  </si>
  <si>
    <t>SOLO 2 ITEM LAL0081808/ MONTO TOTAL :1544,34</t>
  </si>
  <si>
    <t>INFORMAR SOBRE ENTREGA DE PRODUCTO</t>
  </si>
  <si>
    <t>Maracibo</t>
  </si>
  <si>
    <t>GRASA GOLD WP41 WP41</t>
  </si>
  <si>
    <t>GULF E.P LUBRICANT HD 460 TB 208 LTS</t>
  </si>
  <si>
    <t>Aceite Engranaje Gulf EP Lubricant HD 680 TB 208 LTS</t>
  </si>
  <si>
    <t>Aceite Gulf Harmony 68</t>
  </si>
  <si>
    <t>SOLO 3 ITEM LAL0081898 /  MONTO TOTAL : 1515,36$</t>
  </si>
  <si>
    <t>SKF6318-2</t>
  </si>
  <si>
    <t>SKF6309-2</t>
  </si>
  <si>
    <t>SKF6308-2</t>
  </si>
  <si>
    <t>SKF6211-2</t>
  </si>
  <si>
    <t>SKF6210-2</t>
  </si>
  <si>
    <t>SKF6209-2</t>
  </si>
  <si>
    <t>SKF6208-2</t>
  </si>
  <si>
    <t>SKF6207-2</t>
  </si>
  <si>
    <t>SKF6204-2</t>
  </si>
  <si>
    <t>E16013012</t>
  </si>
  <si>
    <t>E1259512</t>
  </si>
  <si>
    <t>E12016012</t>
  </si>
  <si>
    <t>E608010</t>
  </si>
  <si>
    <t>E50658</t>
  </si>
  <si>
    <t>E457510</t>
  </si>
  <si>
    <t>E406810</t>
  </si>
  <si>
    <t>RODAMIENTO RIG. BOLAS 6318-2RS-C3SKF</t>
  </si>
  <si>
    <t>RODAMIENTO RIG. BOLAS. 6309-2RS1/C3 SKF</t>
  </si>
  <si>
    <t>RODAMIENTO RIG. BOLAS. 6308-2RS1/C3 SKF</t>
  </si>
  <si>
    <t>RODAMIENTO RIG. BOLAS. 6211-2RS SKF</t>
  </si>
  <si>
    <t>RODAMIENTO RIG. BOLAS. 6210-2RS1 SKF</t>
  </si>
  <si>
    <t>RODAMIENTO RIG. BOLAS. 6209-2RS1/C3 SKF</t>
  </si>
  <si>
    <t>RODAMIENTO RIG. BOLAS. 6208-2RS1 SKF</t>
  </si>
  <si>
    <t>RODAMIENTO RIG. BOLAS. 6207-2RS1 SKF</t>
  </si>
  <si>
    <t>RODAMIENTO RIG. BOLAS. 6204-2RSH SKF</t>
  </si>
  <si>
    <t>ESTOPERA 160-130-12 SKF</t>
  </si>
  <si>
    <t>ESTOPERA 125-95-12 SKF</t>
  </si>
  <si>
    <t>ESTOPERA 120-160-12 SKF</t>
  </si>
  <si>
    <t>ESTOPERA 60-80-10 SKF</t>
  </si>
  <si>
    <t>ESTOPERA 50-65-8 SKF</t>
  </si>
  <si>
    <t>ESTOPERA 45-75-10 SKF</t>
  </si>
  <si>
    <t>ESTOPERA 40-68-10 SKF</t>
  </si>
  <si>
    <t>134U3016</t>
  </si>
  <si>
    <t>131B9011</t>
  </si>
  <si>
    <t>VARIADOR DANFOSS VLT 25HP 440V 131B901</t>
  </si>
  <si>
    <t>DANFOSS VLT 2800 15 HP 460/3/60</t>
  </si>
  <si>
    <t>Misma cotizacion que la 721 pero de importacion</t>
  </si>
  <si>
    <t>ENGRAGULF680</t>
  </si>
  <si>
    <t>ENGRANAJE ISO 680 GULF TAMBOR</t>
  </si>
  <si>
    <t>POR TIEMPO DE ENTREGA NO HABIA NACIONAL</t>
  </si>
  <si>
    <t>DESMALEZADORAS MOTOR 2 TIEMPO MARCA TOYAMA</t>
  </si>
  <si>
    <t>GULF ESKIMO 68 TAMBOR 208 LTS</t>
  </si>
  <si>
    <t>HI97701</t>
  </si>
  <si>
    <t>HI97711</t>
  </si>
  <si>
    <t>HI96734</t>
  </si>
  <si>
    <t>Hanna Instruments HI97728 - Fotómetro portátil de nitrato</t>
  </si>
  <si>
    <t>HI96706 Fotómetro para fósforo, intervalo: 0.0 a 15.0 mg/L</t>
  </si>
  <si>
    <t>Fotómetro portátil para cloro libre, con CAL Check™ - sólo</t>
  </si>
  <si>
    <t>Fotómetro portátil para cloro libre y tota con CAL Check™</t>
  </si>
  <si>
    <t>Fotómetro cloro libre y total int. alto; Cl libre: 0.00-10.00 mg</t>
  </si>
  <si>
    <t>Fotómetro para el color del agua, intervalo 0 a 500 PCU</t>
  </si>
  <si>
    <t>Medidor portátil de turbidez con registro HI93703</t>
  </si>
  <si>
    <t>COMP4DS</t>
  </si>
  <si>
    <t>COMPRESOR HERMETICO COPELAND 4DS3F76KE</t>
  </si>
  <si>
    <t>EL 28-5 ENVIO COTIZACION 662 Y EL 31-5 E.C 675 MEJORO EL PRECIO POR ESTA COTIZACION</t>
  </si>
  <si>
    <t>EL 31-5 ENVIO COTIZACION 675 Y MEJORO EL PRECIO POR ESTA COTIZACION</t>
  </si>
  <si>
    <t>HACH 1206599 sulfaver 4 Sulfato Reactivo en polvo,</t>
  </si>
  <si>
    <t>RODAMIENTO INA RT 606</t>
  </si>
  <si>
    <t>AGUA CONTROL 323C-Q-PATT TAMBOR 208 LTS</t>
  </si>
  <si>
    <t>Asco red-hat 304392 Válvula de reconstruir Kit Para 8220G</t>
  </si>
  <si>
    <t>Asco 323468 Kit de la reconstrucción, para 4NWZ2, 4NWZ</t>
  </si>
  <si>
    <t>Asco 323471A Kit de reparación para Válvula 8220G409</t>
  </si>
  <si>
    <t>8220G406-240V 1/2"N/C,5/125 Asco Vapor</t>
  </si>
  <si>
    <t>Conversar con Comprador y
saber el estatus de cotizaciones</t>
  </si>
  <si>
    <t>LAL0081234</t>
  </si>
  <si>
    <t>LAL0081159</t>
  </si>
  <si>
    <t>L5140W</t>
  </si>
  <si>
    <t>MAQUINA DE SOLDAR LINCE PRO INVERTER 5140W</t>
  </si>
  <si>
    <t>Nuevas solicitudes</t>
  </si>
  <si>
    <t>solo 14501495642 MONTO TOTAL : 338,45/EL27/05 COMPRO LA OTRA CINTA 4501497659 169,23</t>
  </si>
  <si>
    <t>ENVIO LAO.C A COMPRAS TARDE PORQUE ESTABA VERIFICANDO PRECIOS</t>
  </si>
  <si>
    <t>T2500K</t>
  </si>
  <si>
    <t>TRANSPALETA 2500 KG</t>
  </si>
  <si>
    <t>3 Dias</t>
  </si>
  <si>
    <t>Entregar Productos, 
Conversar con Comprador, Cobranza</t>
  </si>
  <si>
    <t>INTERAMERICANA DE CABLES</t>
  </si>
  <si>
    <t>PTHF650</t>
  </si>
  <si>
    <t>Guarenas</t>
  </si>
  <si>
    <t>F14051</t>
  </si>
  <si>
    <t>CILINDRO NEUMATICO PLANO DE DOBLE EFECTO</t>
  </si>
  <si>
    <t>JDL36200SA 200A 600V NSMP SQUARE D</t>
  </si>
  <si>
    <t>3M 5453 2" X 36 YARDAS</t>
  </si>
  <si>
    <t>SODACAUS</t>
  </si>
  <si>
    <t>SODA CAUSTICA LIQUIDA AL 50% DE CONCENTRACION</t>
  </si>
  <si>
    <t>Sello De Aceite 30X47X7mm TC</t>
  </si>
  <si>
    <t>Sello De Eje de aceite métrica 36X47X7mm</t>
  </si>
  <si>
    <t>SOLO 1 ITEM LAL0081244 MONTO TOTAL: 4.704,00$</t>
  </si>
  <si>
    <t>CAB#12</t>
  </si>
  <si>
    <t>CABLE # 12</t>
  </si>
  <si>
    <t>TU3/4TUB</t>
  </si>
  <si>
    <t>CUPLAS3/4</t>
  </si>
  <si>
    <t>AR220VSCH</t>
  </si>
  <si>
    <t>TUBO 3/4 DE 3 METROS TUBRICA</t>
  </si>
  <si>
    <t>CURVAS PLASTICAS DE ELECTRICIDAD 3/4</t>
  </si>
  <si>
    <t>ARRANC. TIPO GUARDAMOTOR MOTOR 220V 9 A 13 AMP C</t>
  </si>
  <si>
    <t>210220PARKER</t>
  </si>
  <si>
    <t>REFRIGERANTE INTERRUPTOR LLSS 210220 PARKER</t>
  </si>
  <si>
    <t>Dias de 
Atraso</t>
  </si>
  <si>
    <t>BOMBA TRANSFEREBNCIA 11922552102</t>
  </si>
  <si>
    <t>SOLENOIDE DE PARADA 119653-77950</t>
  </si>
  <si>
    <t>COJINETE DE CIGUEÑAL 129001-02931</t>
  </si>
  <si>
    <t>COJINETE DE APOYO 129150-02931</t>
  </si>
  <si>
    <t>RETENEDOR 55X72X9 119934-01800</t>
  </si>
  <si>
    <t>JGO ANILLOS DE PISTON STD 129005-22500</t>
  </si>
  <si>
    <t>JGO ANILLOS DE PISTON 0,25 129005-22950</t>
  </si>
  <si>
    <t>CIGUEÑAL CJ 129657-21002</t>
  </si>
  <si>
    <t>CULATA CJ 129601-11700</t>
  </si>
  <si>
    <t>SOLO 1 ITEM LAL0081956 / MONTO TOTAL: 10732,84 $</t>
  </si>
  <si>
    <t>10-12 Week</t>
  </si>
  <si>
    <t>Atlas Copco QDT 1100 8102192956</t>
  </si>
  <si>
    <t>Atlas Copco UD + 1100 8102297931</t>
  </si>
  <si>
    <t>Filtro Atlas Copco PD 970</t>
  </si>
  <si>
    <t>HORO5</t>
  </si>
  <si>
    <t>HOROMETRO 5 DIGITOS Enm Mt101r AC/DC</t>
  </si>
  <si>
    <t>BARITAN001</t>
  </si>
  <si>
    <t>BARITANQUE 1000LTS</t>
  </si>
  <si>
    <t>TBC43</t>
  </si>
  <si>
    <t>DESBROZADORA GASOLINA 43CC TOYAMA TBC43</t>
  </si>
  <si>
    <t>RON SANTA TERESA, S.A.C.A</t>
  </si>
  <si>
    <t>REGVOLTAJE</t>
  </si>
  <si>
    <t>REGULADOR DE VOLTAJE AUTO. AVR AVC125-10A1</t>
  </si>
  <si>
    <t>EL 8-6 ENVIO COTIZACION 735 MEJORO EL PRECIO POR ESTA COT.</t>
  </si>
  <si>
    <t>PUENTE RECTIFICADOR SEMIKRON SKIP11NAB126V1</t>
  </si>
  <si>
    <t>GB CHEMPRO C.A</t>
  </si>
  <si>
    <t>ALOJZ VOGLAR ROMERO</t>
  </si>
  <si>
    <t>DELLE5450</t>
  </si>
  <si>
    <t>HPSTREAM</t>
  </si>
  <si>
    <t>EVON4000</t>
  </si>
  <si>
    <t>LACERCRH</t>
  </si>
  <si>
    <t>LAPTOP E4550 DELL</t>
  </si>
  <si>
    <t>LAPTOP STREAM 11.6 HP</t>
  </si>
  <si>
    <t>LAPTOP CELERON N4000 EVOO</t>
  </si>
  <si>
    <t>LAPTOP CHROMEBOOK ACER</t>
  </si>
  <si>
    <t>LENO8IW</t>
  </si>
  <si>
    <t>LENOT440</t>
  </si>
  <si>
    <t>DELL7280</t>
  </si>
  <si>
    <t>HPPRO450</t>
  </si>
  <si>
    <t>LAPTOP IDEAPAD 3 8IWE0016US LENOVO (REFURBISHED) 1</t>
  </si>
  <si>
    <t>LAPTOP T440 LENOVO (REFURBISHED)</t>
  </si>
  <si>
    <t>LAPTOP LATITUDE 7280 DELL (REFURBISHED)</t>
  </si>
  <si>
    <t>LAPTOP PROBOOK 450 G2 HP</t>
  </si>
  <si>
    <t>3P INVERSIONES C.A</t>
  </si>
  <si>
    <t>SENSOR 5N-PA-5-B01-NN DATALOGIC</t>
  </si>
  <si>
    <t>SIM -M12-4GD-5-PU CABLE CIRCULAR 5MTS</t>
  </si>
  <si>
    <t>CADENA DE PASO 60 SENCILLA CON SUS EMPATES</t>
  </si>
  <si>
    <t>PH-8</t>
  </si>
  <si>
    <t>PF10</t>
  </si>
  <si>
    <t>FS1006</t>
  </si>
  <si>
    <t>NAPA Gold 2919 Heavy Duty Air Filter Element</t>
  </si>
  <si>
    <t>Filtro de aire 2920 Napa Gold</t>
  </si>
  <si>
    <t>Air Filter Baldwin PA4886</t>
  </si>
  <si>
    <t>Filtro de aceite de motor Fram PH8A Extra Guard, giratorio</t>
  </si>
  <si>
    <t>Filtro de aceite del motor Wix 51820</t>
  </si>
  <si>
    <t>Filtro de combustible Baldwin PF10</t>
  </si>
  <si>
    <t>Fleetguard FS1006 Separador de agua / combustible</t>
  </si>
  <si>
    <t>8203SIMC-0002 BOQUILLA BARRY WEHMILLER</t>
  </si>
  <si>
    <t>AS9GLCRA</t>
  </si>
  <si>
    <t>ASPIRADORA 9 GALONES 4.25 HP MARCA CRAFTSMAN</t>
  </si>
  <si>
    <t>AD0807153</t>
  </si>
  <si>
    <t>AD0810010</t>
  </si>
  <si>
    <t>TERMINAL DE LÍMITE DE NIVEL DE MOTAN TBM RN 3004</t>
  </si>
  <si>
    <t>TERMINAL DE LÍMITE DE NIVEL DE MOTAN TBM RN 3002 W</t>
  </si>
  <si>
    <t>RODAMIENTO RODILLO CONICO L44649/L44610 BRYCO</t>
  </si>
  <si>
    <t>R44649B</t>
  </si>
  <si>
    <t>ORIPR116</t>
  </si>
  <si>
    <t>O'RING PR-116</t>
  </si>
  <si>
    <t>ACEITE 4UH1/68 KLUBER 200LTS</t>
  </si>
  <si>
    <t>PROTINAL</t>
  </si>
  <si>
    <t>Para informar sobre la cotizacion</t>
  </si>
  <si>
    <t>JENIFER</t>
  </si>
  <si>
    <t>HILDA</t>
  </si>
  <si>
    <t>Dialogar con comprador e informar
que iria de visita a paraentregar productos</t>
  </si>
  <si>
    <t>SIN INFORMACION RELEVANTE, QUE LE BUSCARA LAS PASTILLAS</t>
  </si>
  <si>
    <t>Preguntar si tenia nuevos requerimientos y 
estatus de cotizaciones</t>
  </si>
  <si>
    <t>LARRY</t>
  </si>
  <si>
    <t>JHOANNY</t>
  </si>
  <si>
    <t>Dialogar con comprador y solicitar especicficaciones sobre producto</t>
  </si>
  <si>
    <t>Dialogar con comprador e informar
que pronto iria de visita</t>
  </si>
  <si>
    <t>SUPER-S</t>
  </si>
  <si>
    <t>VICTOR</t>
  </si>
  <si>
    <t>Los resivira el miercoles en planta</t>
  </si>
  <si>
    <t>SANTA TERESA</t>
  </si>
  <si>
    <t>Estatus de cotizacion enviada</t>
  </si>
  <si>
    <t>SARAI</t>
  </si>
  <si>
    <t>Esta en revision, sin informacion relevante</t>
  </si>
  <si>
    <t>CARLOS</t>
  </si>
  <si>
    <t xml:space="preserve">Dialogar con comprador para informar
que iria de visita </t>
  </si>
  <si>
    <t>CENTRAL EL PALMAR</t>
  </si>
  <si>
    <t>Dialogar con comprador e informar
que iria de visita a para entregar productos y el pago</t>
  </si>
  <si>
    <t>Dialogar con comprador para informar 
Sobre productos cotizados, y estatus de cotizaciones pendientes</t>
  </si>
  <si>
    <t>Cotizaciones en revision</t>
  </si>
  <si>
    <t>Conocer estatus de cotizaciones pendientes</t>
  </si>
  <si>
    <t>Dialogar con comprador para informar
que entregaria productos.</t>
  </si>
  <si>
    <t>LUIS A</t>
  </si>
  <si>
    <t>LUIS F</t>
  </si>
  <si>
    <t>NO podra atenderlo por ahora en planta</t>
  </si>
  <si>
    <t>LE ESTARA INFORMANDO, estan en revision</t>
  </si>
  <si>
    <t>E3JM</t>
  </si>
  <si>
    <t>HX-T100</t>
  </si>
  <si>
    <t>Omron E3JM-DS70M4T-G photoelectric</t>
  </si>
  <si>
    <t>Hilo para soldar mecánico hx-t100 0,2 mm 55</t>
  </si>
  <si>
    <t>PEPPERL + FUCHS NBB4-12GM50-E2</t>
  </si>
  <si>
    <t>R22320E1C3</t>
  </si>
  <si>
    <t>RODAMIENTO RODILLO AXIAL 22320E1C3 MARCA FAG</t>
  </si>
  <si>
    <t>R22230E1C3</t>
  </si>
  <si>
    <t>R29336E</t>
  </si>
  <si>
    <t>RODAMIENTO (131147374) 22230E1C3 MARCA FAG</t>
  </si>
  <si>
    <t>RODAMIENTO (131147375) # 29336 E MARCA FAG</t>
  </si>
  <si>
    <t>A11002681</t>
  </si>
  <si>
    <t>A11002705</t>
  </si>
  <si>
    <t>A11002706</t>
  </si>
  <si>
    <t>RODAMIENTO 22320 E SKF</t>
  </si>
  <si>
    <t>RODAMIENTO 22230 CC/W33 SKF</t>
  </si>
  <si>
    <t>RODAMIENTO 29336 E SKF</t>
  </si>
  <si>
    <t>Valvula Asco 8220G25 1"N/C,5/125 vapor, 5/150 PSI 240V</t>
  </si>
  <si>
    <t>CUCHILLA TRIPERIA PARA CASING PULLER</t>
  </si>
  <si>
    <t>Kit Recambio Bomba WAUKESHA C-216 2X1.5</t>
  </si>
  <si>
    <t>Dialogar con comprador e informar
entrega de productos</t>
  </si>
  <si>
    <t>LE ESTARA INFORMANDO EL CASILLERO PARA LA ENTREGA DE PRODUCTOS</t>
  </si>
  <si>
    <t>Dialogar con comprador para informar
que entregaria productos y un presente.</t>
  </si>
  <si>
    <t>LE ESTARA INFORMANDO PARA REALIZAR EL PAGO Y
 LA ENTREGA DE PRODUCTOS</t>
  </si>
  <si>
    <t>N° de Ordenes
Recibidas en el dia</t>
  </si>
  <si>
    <t>Monto Total de Cotizaciones Enviadas ($/dia)</t>
  </si>
  <si>
    <t>Monto Total de Cotizaciones Perdidas ($/dia)</t>
  </si>
  <si>
    <t>Monto Total
de O.C ($/dia)</t>
  </si>
  <si>
    <t>C163372</t>
  </si>
  <si>
    <t>C50100</t>
  </si>
  <si>
    <t>C536330</t>
  </si>
  <si>
    <t>C33975</t>
  </si>
  <si>
    <t>C19246</t>
  </si>
  <si>
    <t>RHK0810</t>
  </si>
  <si>
    <t>MEDST300</t>
  </si>
  <si>
    <t>CILINDRO DOBLE DNC-50-80-PPV-A 163372 FESTO</t>
  </si>
  <si>
    <t>CILINDRO DOBLE ADVUL-50-100-PPV-A FESTO</t>
  </si>
  <si>
    <t>CILINDRO COMPACTO ADN-63-50-I-P-A 536330 FESTO</t>
  </si>
  <si>
    <t>CIL DOBLE DSNU-25-25-PPV-A 33975 FESTO</t>
  </si>
  <si>
    <t>CILINDRO DOBLE DSNU-25-50-PPV-A 19246 FESTO</t>
  </si>
  <si>
    <t>RODAMIENTO DE AGUJAS KH0810</t>
  </si>
  <si>
    <t>MEDIDOR PORTATIL OHAUS ST300</t>
  </si>
  <si>
    <t>YESSICA</t>
  </si>
  <si>
    <t>LAL0080736</t>
  </si>
  <si>
    <t>LAL0081034</t>
  </si>
  <si>
    <t>LAL0081993</t>
  </si>
  <si>
    <t>Dialogar con comprador para ofrecer producto de entrega inmediata(leche)</t>
  </si>
  <si>
    <t>Cotizaciones en revision pronto le dara respuesta</t>
  </si>
  <si>
    <t>SIN INFORMACION RELEVANTE( se encontraba en reunion)</t>
  </si>
  <si>
    <t>SIN N° ORDEN</t>
  </si>
  <si>
    <t>CREACIONES KAROL SAU C.A</t>
  </si>
  <si>
    <t>ROSSANA</t>
  </si>
  <si>
    <t>Cotizaciones en revision(PENDIENTE DE O.C)</t>
  </si>
  <si>
    <t>BTQD3X125</t>
  </si>
  <si>
    <t>BREAKER TQD 3x125 AMP MARCA ANDELI</t>
  </si>
  <si>
    <t>S4A200NX00J1XS</t>
  </si>
  <si>
    <t>NVALVULA PARKER 3/4" S4A</t>
  </si>
  <si>
    <t>Dialogar con comprador para informar
que entregaria productos .</t>
  </si>
  <si>
    <t>MARIELA</t>
  </si>
  <si>
    <t>Nuevas solicitudes/ conocio analista de cuentas 
por pagar katerin armas</t>
  </si>
  <si>
    <t>Entregar Productos, 
Conversar con Comprador.</t>
  </si>
  <si>
    <t>JORBELIS</t>
  </si>
  <si>
    <t>KIRVING</t>
  </si>
  <si>
    <t>LE INFORMO SOBRE O.C ENVIADA</t>
  </si>
  <si>
    <t>Dialogar con comprador sobre reunion del sabado</t>
  </si>
  <si>
    <t>Dialogar con comprador y solicitud de especicficaciones sobre producto</t>
  </si>
  <si>
    <t>ALIMENTOS LA CARIDAD</t>
  </si>
  <si>
    <t>Cilindro Piston DSCB-63-400-PPVA-N3</t>
  </si>
  <si>
    <t>Cilindro Neumatica DNC-40-230-PPV-A</t>
  </si>
  <si>
    <t>Cilindro DNC-125-200-PPV-A FESTO</t>
  </si>
  <si>
    <t>Cilindro DNCB-100-280-PPV-A FESTO</t>
  </si>
  <si>
    <t>DNC-125-160-PPV-A- FESTO</t>
  </si>
  <si>
    <t>UP162734</t>
  </si>
  <si>
    <t>UNIDAD DE PREPARACION DE AIRE 162734 FESTO</t>
  </si>
  <si>
    <t>UP159590</t>
  </si>
  <si>
    <t>UP159605</t>
  </si>
  <si>
    <t>REG159630</t>
  </si>
  <si>
    <t>V6211F</t>
  </si>
  <si>
    <t>VNA54N1502</t>
  </si>
  <si>
    <t>V8820F</t>
  </si>
  <si>
    <t>V19787F</t>
  </si>
  <si>
    <t>V19708F</t>
  </si>
  <si>
    <t>V151010F</t>
  </si>
  <si>
    <t>E9764F</t>
  </si>
  <si>
    <t>V15901F</t>
  </si>
  <si>
    <t>V535987F</t>
  </si>
  <si>
    <t>E9982F</t>
  </si>
  <si>
    <t>M551457F</t>
  </si>
  <si>
    <t>M551459F</t>
  </si>
  <si>
    <t>UNIDAD DE PREPARACION DE AIRE 159590 FESTO</t>
  </si>
  <si>
    <t>UNIDAD DE PREPARACION DE AIRE 159605 FESTO</t>
  </si>
  <si>
    <t>FILTRO REGULADOR LFR1/8-D-MINI 159630 FESTO</t>
  </si>
  <si>
    <t>VALVULA SOLENOIDE MFH-5-1/4 6211 FESTO</t>
  </si>
  <si>
    <t>VALVULA SOLENOIDE NAMUR NA54N-15-02 CAMOZZI</t>
  </si>
  <si>
    <t>VALVULA SOLENOIDE JMFH-5-1/8 8820 FESTO</t>
  </si>
  <si>
    <t>VALVULA SOLENOIDE MFH-5/ 3G-1/4-B 19787 FESTO</t>
  </si>
  <si>
    <t>VALVULA SOLENOIDE MFH-5/3E-3/8-B 19708 FESTO</t>
  </si>
  <si>
    <t>VALVULA SOLENOIDE NEUMATICA VL-5/3G-D-1-C 151010</t>
  </si>
  <si>
    <t>ELECTROVALVULA VL-5-1/8 9764 FESTO</t>
  </si>
  <si>
    <t>ELECTROVALVULA MFH-3-1/4 9964 FESTO</t>
  </si>
  <si>
    <t>VALVULA SOLENOIDE MFH-5-1/4-B 15901 FESTO</t>
  </si>
  <si>
    <t>VALVULA SOLENOIDE NVF3-MOH-5/2-K-1/4-EX 535987 FE</t>
  </si>
  <si>
    <t>ELECTROVALVULA SOL MFH-5-1/8 9982 FESTO</t>
  </si>
  <si>
    <t>MANGUERA POLIURETANO 6X1-BL 551457 FESTO</t>
  </si>
  <si>
    <t>MANGUERA DE POLIURETANO EXT 10X1,5-BL 551459 FE</t>
  </si>
  <si>
    <t>SE213/4</t>
  </si>
  <si>
    <t>RTKR2026</t>
  </si>
  <si>
    <t>SELLO MECANICO TIPO 21 3/4 PULG.</t>
  </si>
  <si>
    <t>RODAMIENTO CONICO L44649/L44610 (TKR-2026) TIMKE</t>
  </si>
  <si>
    <t>REPARTIDOR MARCA: J.UHING, MODELO:RG3-30-2MCRFX</t>
  </si>
  <si>
    <t>REPARTIDOR MARCA: J.UHING, MODELO:RG3-30-2MCR</t>
  </si>
  <si>
    <t>REGULADOR DE PR LRP-1/4-10 FESTO</t>
  </si>
  <si>
    <t>CILINDRO SIMPLE EFECTO ESNU-25-25-P-A FESTO</t>
  </si>
  <si>
    <t>SIN INFORMACION RELEVANTE/ AUN NO TIENE RESPUESTA SOBRE EL PAGO</t>
  </si>
  <si>
    <t>Dialogar con comprador para informacion del pago y producto a entregar</t>
  </si>
  <si>
    <t>INDEIN</t>
  </si>
  <si>
    <t>LUCIA</t>
  </si>
  <si>
    <t>INDEIN C.A</t>
  </si>
  <si>
    <t>SCHNEIDER NSX-160F</t>
  </si>
  <si>
    <t>LAL0082017</t>
  </si>
  <si>
    <t>6 ITEM LAL0082030 ( 1407,97$)/ LAL0082031 (1254,52$)</t>
  </si>
  <si>
    <t>SONDA PARA MEDIDA DE DQO, COT Y DBO MEJORADA</t>
  </si>
  <si>
    <t>BATERIA UPS RX 12V 7,0 Ah R-1270 DUNCAN</t>
  </si>
  <si>
    <t>Unión DEUBLIN 255-000-020 Giratorio</t>
  </si>
  <si>
    <t>Entregar detalles</t>
  </si>
  <si>
    <t>Conocer planta</t>
  </si>
  <si>
    <t>SENSOR SICK WL280-S230</t>
  </si>
  <si>
    <t>LIQUIFANTE T FLT20-0020</t>
  </si>
  <si>
    <t>PROPI15</t>
  </si>
  <si>
    <t>PROPILENGLICOL (KG)</t>
  </si>
  <si>
    <t>SIN INFORMACION RELEVANTE/ NO PUDO ATENDERLA</t>
  </si>
  <si>
    <t>NUEVOS CONTACTOS</t>
  </si>
  <si>
    <t>SIN INFORMACIÓN RELEVANTE/ EL COMPRADOR ESTABA ENFERMO</t>
  </si>
  <si>
    <t>Dialogar con comprador para informar
que iria de visita /entregar detalles</t>
  </si>
  <si>
    <t>Dialogar con comprador para cotizar productos</t>
  </si>
  <si>
    <t>ACET16</t>
  </si>
  <si>
    <t>ACETATO DE BUTIL</t>
  </si>
  <si>
    <t>Dialogar con comprador por tema de pago</t>
  </si>
  <si>
    <t>SAMUEL</t>
  </si>
  <si>
    <t>SIN INFORMACION RELEVANTE/ PRONTO LE ESTARA ENVIANDO LA INFORMACION</t>
  </si>
  <si>
    <t xml:space="preserve"> Pedir informacion sobre los elementos filtrantes en planta maracaibo y barcelona</t>
  </si>
  <si>
    <t>PD34796</t>
  </si>
  <si>
    <t>VALVULA NEUMATICA 1/4" OSCILANTE PARKER PD347</t>
  </si>
  <si>
    <t> 5500025644</t>
  </si>
  <si>
    <t>EL 16-6 ENVIO COTIZACION 796 MEJORO EL PRECIO POR ESTA COT.</t>
  </si>
  <si>
    <t>LAL0081529</t>
  </si>
  <si>
    <t>EL 18-5 ENVIO COTIZACION 20172 Y EL 18-6 ENVIO COTIZACION 746 MEJORO EL PRECIO POR ESTA COT.</t>
  </si>
  <si>
    <t>T542249F</t>
  </si>
  <si>
    <t>TRAND. VALV. CONTROL DE PRESION 542249 FESTO</t>
  </si>
  <si>
    <t>Dialogar con comprador y le solicitaron bajar precio de producto</t>
  </si>
  <si>
    <t>Dialogar con comprador para saber si tiene
alguna solicitud nueva</t>
  </si>
  <si>
    <t>Dialogar con comprador para informar
que iria de visita</t>
  </si>
  <si>
    <t>ROMINA</t>
  </si>
  <si>
    <t>SIN INFORMACION RELEVANTE / LA PROXIMA SEMANA LE ESTARAN RECIBIENDO</t>
  </si>
  <si>
    <t>Dialogar con comprador por tema de O.C</t>
  </si>
  <si>
    <t>Cotizacione en revision pronto le dara respuesta</t>
  </si>
  <si>
    <t>SODA CAUSTICA LIQUIDA AL 50% DE CONCENTRACIO</t>
  </si>
  <si>
    <t>NUEVOS CONTACTOS /CONOCIO JEFE DE PLANTA</t>
  </si>
  <si>
    <t>F00407340</t>
  </si>
  <si>
    <t>Medidor de flujo electrónico digital Piusi F00407340 K-24</t>
  </si>
  <si>
    <t>Dialogar con comprador para la gestion de entrega de productos</t>
  </si>
  <si>
    <t>Conocer estatus de cotizacion pendiente</t>
  </si>
  <si>
    <t>En la espera de entrega de producto</t>
  </si>
  <si>
    <t>Dialogar con comprador por tema de facturacion</t>
  </si>
  <si>
    <t>LENNIS</t>
  </si>
  <si>
    <t>Dialogar con recepcion para solicitar
informacion del nuevo comprador.</t>
  </si>
  <si>
    <t>MIRIAM</t>
  </si>
  <si>
    <t>SIN INFORMACION RELEVANTE / LE BRINDO INFORMACION SOLICITADA</t>
  </si>
  <si>
    <t>Dialogar con comprador y conocer estatus de cotizaciones</t>
  </si>
  <si>
    <t>MOTOBONFI</t>
  </si>
  <si>
    <t>MOTOR REDUCTOR BONFIGLIOLI</t>
  </si>
  <si>
    <t>CR18-8DN</t>
  </si>
  <si>
    <t>SENSOR CAPACITIVO DE PROXIMIDAD CR18-8DN 18M</t>
  </si>
  <si>
    <t>EL 16-6 ENVIO COTIZACION 796 MEJORO EL PRECIO POR COT.820 PERO LO COMPRARON LA 796
Solo 3 ITEM 2300002349 ;TOTAL:5252,78</t>
  </si>
  <si>
    <t>Lacteos Doña Flora, C.A</t>
  </si>
  <si>
    <t>EL 16-6 ENVIO COTIZACION 796 MEJORO EL PRECIO POR COT.820 PERO LO COMPRARON LA 796
Solo 3 ITEM 2300002349 ;TOTAL:5252,78 Lacteos Doña Flora, C.A</t>
  </si>
  <si>
    <t>EL 16-6 ENVIO COTIZACION 796 MEJORO EL PRECIO POR COT.820 PERO  LO COMPRARON LA 796
Solo 3 ITEM 2300002349 ;TOTAL:5252,78 Lacteos Doña Flora, C.A</t>
  </si>
  <si>
    <t>Dialogar con comprador y el comprador le envio nuevo requerimiento</t>
  </si>
  <si>
    <t>LE ENVIARA NUEVA O.C LE ESTARA AVISANDO</t>
  </si>
  <si>
    <t>SIN INFORMACION RELEVANTE/ POR EL MOMENTO NO ESTAN REALIZANDO COMPRAS</t>
  </si>
  <si>
    <t>YOHANNY</t>
  </si>
  <si>
    <t>EL 21-6 ENVIO COTIZACION 835 EL PRECIO POR ESTA COT.</t>
  </si>
  <si>
    <t>A504</t>
  </si>
  <si>
    <t>MOTORREDUCTOR . BONFIG. A504UH50232,0P80VA+B</t>
  </si>
  <si>
    <t>LAL0080611</t>
  </si>
  <si>
    <t>1608-5</t>
  </si>
  <si>
    <t>LAL0026245</t>
  </si>
  <si>
    <t>LAL0080428/ GLOBAL</t>
  </si>
  <si>
    <t>Dialogar con comprador pedir informacion sobre pago</t>
  </si>
  <si>
    <t>E533342F</t>
  </si>
  <si>
    <t>ELECTROVALVULA 21Y1 533342 FESTO</t>
  </si>
  <si>
    <t xml:space="preserve">PROPILENGLICOL  USP TAMBOR 215  KG </t>
  </si>
  <si>
    <t xml:space="preserve">MOTOREDUCTOR SEW MGFAS2-DSM N° SERIE 01.1840831501.0007.12 N/P KRONES 0-902-07-713-8 </t>
  </si>
  <si>
    <t>MOTOREDUCTOR SEW MGFAS2-DSM NUMERO DE SERIE 01.1839377102.0033.12 N/P KRONES 0-902-07-715-1</t>
  </si>
  <si>
    <t>MOTOREDUCTOR SEW MGFAS2-DSM SERIE 01.1839377103.0005.12 N/P KRONES 0-902-07-732-9</t>
  </si>
  <si>
    <t>MOTOREDUCTOR SEW MGFAS2-DSM SERIE 01.1839377104.0012.12 N/P KRONES 0-902-24-340-4</t>
  </si>
  <si>
    <t>FRENO COMPLETO DT100/BM4/HF  220V MOTORREDUCTOR CON FRENO</t>
  </si>
  <si>
    <t>8671419 FRENO COMPLETO  P/MOTOR DT 80 TIPO BMG1 220 V</t>
  </si>
  <si>
    <t>KIT MANTENIMIENTO SAF57 MOTORREDUCTOR SEW SAF57DSR90L4 EJE HUECO 2.2KW - 198 RPM</t>
  </si>
  <si>
    <t>CONTACTOR MARCA ABB A95-30 BOBINA 220 VOLT.</t>
  </si>
  <si>
    <t xml:space="preserve">BREAKER BIFASICO DE 2X40 GENERAL ELECTRIC SUPERFICIAL </t>
  </si>
  <si>
    <t>GUARDA MOTOR, TRIFASICO (17 A 23 AMP) GV2-ME21.MARACA TELEMECANIQUE.</t>
  </si>
  <si>
    <t xml:space="preserve">INTERRUPTOR ELECTRICO HMCP 3 X 30A </t>
  </si>
  <si>
    <t>1492-SP3D400 BREAKER TRIFASICO DE PROTEC  1492-SP3D400</t>
  </si>
  <si>
    <t>BREAKER A. BRADLEY  N° PART. 1492-GS1G005</t>
  </si>
  <si>
    <t>RELE DE SOBRECARGA MCS-E DE ESTADO SOLIDO</t>
  </si>
  <si>
    <t>SUPERVISOR DE FASE MONOFASICO 220V</t>
  </si>
  <si>
    <t>SELECTOR 3 POSICIONES MOD XB2-BD33</t>
  </si>
  <si>
    <t>GUARDA MOTOR, TRIFASICO (13 A 18 AMPS) GV2-ME20</t>
  </si>
  <si>
    <t>SECCIONADOR DE LOCKOUT 40 AMP MARC ALLEN BRADLEY MODELO 194E-AA40.</t>
  </si>
  <si>
    <t>REFLECTOR FE-RR1 REFLECTOR CIRCULAR MARCA PEPPERL-FUCHS</t>
  </si>
  <si>
    <t>SELECTOR DE 3 POSICIONES N° 800FP-SM32PX11 C/RETENCION 22 MM</t>
  </si>
  <si>
    <t xml:space="preserve">MICRO SWITCH NO. BZ-2RW822-A2/USO:SWITCHES/ SRL:BZ </t>
  </si>
  <si>
    <t>CONTACTOR 3 POLOS BOBINA 220 VOLTS. 30 AMPS</t>
  </si>
  <si>
    <t>CONTACTOR 3 POLOS 24 VOLTS. BOBINA 24 VAC 30 AMPS.</t>
  </si>
  <si>
    <t>CONTACTOR TRIFASICO DE 40AMP A 220VAC CON BOBINA DE24 VAC</t>
  </si>
  <si>
    <t>MOTOR VENTILADOR UN EJE 1/2 HP, 1075 RPM, 208-230V HERMETICO</t>
  </si>
  <si>
    <t>SUPERVISOR DE FASE SUPERVISOR DE FASE TRIFASICO 220V</t>
  </si>
  <si>
    <t>CONTACTOR 2 POLOS 30 AMPS. 220 VOLTS</t>
  </si>
  <si>
    <t xml:space="preserve">GUARDA MOTOR, TRIFASICO (20 A 25 AMPS) GV2-ME22 </t>
  </si>
  <si>
    <t xml:space="preserve">PROTECTOR DE VOLTAJE 110V PARA ENCHUFAR </t>
  </si>
  <si>
    <t xml:space="preserve">SECCIONADOR DE LOCKOUT 32 AMP N° 194E-Y32-1753-6N </t>
  </si>
  <si>
    <t xml:space="preserve">TC809B1008 INTELLIGENT MINI-MONITOR </t>
  </si>
  <si>
    <t>42SRP-6032-QD PHOTOSWITCH  MARCA ALLE BRADLEY TAP WHITE CAP MOD 20R46.</t>
  </si>
  <si>
    <t>270197</t>
  </si>
  <si>
    <t>cotizo 15 unidades y compraron solo 6</t>
  </si>
  <si>
    <t>cotizo 5 unidades y compraron solo 3</t>
  </si>
  <si>
    <t>cotizo 10 unidades y compraron solo 5</t>
  </si>
  <si>
    <t>LAL0082049</t>
  </si>
  <si>
    <t>6-8 Week</t>
  </si>
  <si>
    <t>4501508492/ SE MODIFICO LA O.C</t>
  </si>
  <si>
    <t>RODAMIENTO 6212-2Z-C4 SKF</t>
  </si>
  <si>
    <t>SE MODIFICO LA O.C 4501508492 DE LA COT-3549 POR LA 3552 CON O.C</t>
  </si>
  <si>
    <t>C163400F</t>
  </si>
  <si>
    <t>CILINDRO DOBLE DNC-63-100-PPV-A 163400 FESTO</t>
  </si>
  <si>
    <t>C163528F</t>
  </si>
  <si>
    <t>BRIDA BASC CENT ZNCM 63 163528 FESTO</t>
  </si>
  <si>
    <t>ELECTRO VALVULA MFH 5-1/8. 9982 FESTO</t>
  </si>
  <si>
    <t>FLUK1507</t>
  </si>
  <si>
    <t>MEDIDOR DE AISLAMIENTO FLUKE 1507</t>
  </si>
  <si>
    <t>JESUS CRESPO</t>
  </si>
  <si>
    <t>4D</t>
  </si>
  <si>
    <t>BATERIA 4D FULGOR</t>
  </si>
  <si>
    <t>SIN N° DE COT.</t>
  </si>
  <si>
    <t>SIN N° DE O.C</t>
  </si>
  <si>
    <t xml:space="preserve">Cobranza, busqueda de baritanques </t>
  </si>
  <si>
    <t>Dialogar con comprador por tema de mat. Quimico</t>
  </si>
  <si>
    <t>Dialogar con comprador por tema de o.c</t>
  </si>
  <si>
    <t>SIN INFORMACION RELEVANTE / LE solicito estatus de O.C pendiente</t>
  </si>
  <si>
    <t>Dialogar con comprador y le solicito nuevo requerimiento</t>
  </si>
  <si>
    <t>Dialogar con comprador por tema de O.C y estatus cotizaciones</t>
  </si>
  <si>
    <t>LE ENVIO O.C</t>
  </si>
  <si>
    <t>Dialogar con comprador y solicitud de requerimiento</t>
  </si>
  <si>
    <t>Dialogar con comprador y solicitar informacion
sobre filtros</t>
  </si>
  <si>
    <t>POLAR</t>
  </si>
  <si>
    <t>NATHALIA</t>
  </si>
  <si>
    <t>PRONTO LE DARA RESPUESTA SOBRE CREACION DE CODIGO CON IMPRO</t>
  </si>
  <si>
    <t>LAL0082124</t>
  </si>
  <si>
    <t>16 Week</t>
  </si>
  <si>
    <t>PL</t>
  </si>
  <si>
    <t>PROPILENGLICOL USP (KG)</t>
  </si>
  <si>
    <t xml:space="preserve">EL 17-6 ENVIO COTIZACION 816 Y MEJORO EL PRECIO COT.853 </t>
  </si>
  <si>
    <t>EL 18-5 ENVIO COTIZACION 20172 Y EL 18-6 ENVIO COTIZACION 746 MEJORO EL PRECIO 
POR ESTA COT. PERDIO POR AUMNETO EN PRECIO DE FLETE DE CHINA AVENEZUELA</t>
  </si>
  <si>
    <t>RACOR RECTO QS-8-1/2 FESTO</t>
  </si>
  <si>
    <t>TUBERIA FLEXIBLE PUN-12X2 FESTO</t>
  </si>
  <si>
    <t>VALVULA DE PASO HE-2-QS-8 FESTO</t>
  </si>
  <si>
    <t>RACOR RAPIDO Y QSY-8 FESTO</t>
  </si>
  <si>
    <t>RACOR L QSL-8 FESTO</t>
  </si>
  <si>
    <t>VASO FILTRANTE VAS LR/ LRF / FRC-D-MAXI FESTO</t>
  </si>
  <si>
    <t>25CBH 10-3-4</t>
  </si>
  <si>
    <t>KIT SELLO P/ BOMBA PUMPACK MOD: 25CBH 10-3-4</t>
  </si>
  <si>
    <t>C7027A1049</t>
  </si>
  <si>
    <t>SENSOR DETECTOR DE LLAMA HONEYWELL MODELO</t>
  </si>
  <si>
    <t>MES COTIZACION</t>
  </si>
  <si>
    <t>SKF CMAS100-SL</t>
  </si>
  <si>
    <t>junio</t>
  </si>
  <si>
    <t>5H3B50</t>
  </si>
  <si>
    <t>CAUDALIMETRO 5H3B50-AAIBAAAFBAHFAS0AA2</t>
  </si>
  <si>
    <t>SENSOR SOEG-RT-M12-PS-K-2L FESTO</t>
  </si>
  <si>
    <t>MANOMETRO PAGN-P-40-1M-G14 FESTO</t>
  </si>
  <si>
    <t>LAL0082111/ solicitaron 3 unidades total:4200$</t>
  </si>
  <si>
    <t>LAL0082125</t>
  </si>
  <si>
    <t>henry</t>
  </si>
  <si>
    <t>INVERSIONES CELEMS 407 C.A</t>
  </si>
  <si>
    <t>INVERSIONES CELEMS C.A</t>
  </si>
  <si>
    <t>PH METRO HANNA, HI99163</t>
  </si>
  <si>
    <t>R440RA</t>
  </si>
  <si>
    <t>RKR40B</t>
  </si>
  <si>
    <t>RELE DE SEGURIDAD 440R-N23126 ALLEN BRADLEY</t>
  </si>
  <si>
    <t>RODAMIENTO KR40-B MARCA INA</t>
  </si>
  <si>
    <t>LAL0080953</t>
  </si>
  <si>
    <t>LAL0081021</t>
  </si>
  <si>
    <t>954/CANT:6/ FALTA 1 ITEM PARA ENTREGAR</t>
  </si>
  <si>
    <t>CANT:2/ FALTA 1 ITEM PARA ENTREGAR / 948</t>
  </si>
  <si>
    <t>LAL0081164</t>
  </si>
  <si>
    <t>LAL0081203</t>
  </si>
  <si>
    <t xml:space="preserve">SOLO 2 ITEM REIBIERON O.C LAL0081171
 (REQ: 509357/509392) MONTO TOTAL: 8.975,9$ </t>
  </si>
  <si>
    <t>LAL0081192</t>
  </si>
  <si>
    <t> LAL0081207</t>
  </si>
  <si>
    <t>SOLO 2 ITEM RECIBIERON O.C (REQ: 505289/505291) MONTO TOTAL: 67.295.,00$/LAL0081249/LAL0081247</t>
  </si>
  <si>
    <t>7-8 Week</t>
  </si>
  <si>
    <t> LAL0081281</t>
  </si>
  <si>
    <t>LAL0080942 SOLO 10unid</t>
  </si>
  <si>
    <t>LAL0081549</t>
  </si>
  <si>
    <t>SOLO 2 ITEM MONTO (TOTAL:1098,48)/LAL0081531</t>
  </si>
  <si>
    <t>LAL0081552</t>
  </si>
  <si>
    <t>LAL0081605</t>
  </si>
  <si>
    <t>LAL0081664</t>
  </si>
  <si>
    <t>LAL0081726</t>
  </si>
  <si>
    <t>LAL0081746</t>
  </si>
  <si>
    <t xml:space="preserve">SOLO 2 ITEM RECIBERON O.C (REQ:507460/507553) MONTO TOTAL: 1.606,76$/LAL0081223 </t>
  </si>
  <si>
    <t>LAL0081551</t>
  </si>
  <si>
    <t>LAL0081261</t>
  </si>
  <si>
    <t>Sick DOS-2312-G (6027538) Conector hembra, M23, 12 Pines, R</t>
  </si>
  <si>
    <t>22A-D8P7N104 ALLEN BRADLEY 5.0HP</t>
  </si>
  <si>
    <t>ALLEN-BRADLEY 1746-0W16 SERIE C</t>
  </si>
  <si>
    <t>CABTW12</t>
  </si>
  <si>
    <t>BR3X70GE</t>
  </si>
  <si>
    <t>BR2X15GE</t>
  </si>
  <si>
    <t>BR2X40GE</t>
  </si>
  <si>
    <t>BR3X20GE</t>
  </si>
  <si>
    <t>CABTW10</t>
  </si>
  <si>
    <t>TNLAB415L</t>
  </si>
  <si>
    <t>CABLE TW # 12</t>
  </si>
  <si>
    <t>BREAKER EMPOTRAR 3X70 AMP G.E</t>
  </si>
  <si>
    <t>BREAKER EMPOTRAR 2X15 AMP G.E</t>
  </si>
  <si>
    <t>BREAKER EMPOTRAR 2 X 40 AMP G.E</t>
  </si>
  <si>
    <t>BREAKER EMPOTRAR 3 X 20 AMP G.E</t>
  </si>
  <si>
    <t>CABLE TW # 10</t>
  </si>
  <si>
    <t>TABLERO NLAB 415L 225 A REPATCA</t>
  </si>
  <si>
    <t>R6205BT</t>
  </si>
  <si>
    <t>R6204BT</t>
  </si>
  <si>
    <t>R6206BT</t>
  </si>
  <si>
    <t>R6309BT</t>
  </si>
  <si>
    <t>R6308BT</t>
  </si>
  <si>
    <t>R6211BT</t>
  </si>
  <si>
    <t>R6207BT</t>
  </si>
  <si>
    <t>RODAMIENTO 6205 BTB</t>
  </si>
  <si>
    <t>RODAMIENTO 6204 BTB</t>
  </si>
  <si>
    <t>RODAMIENTO 6206 BTB</t>
  </si>
  <si>
    <t>RODAMIENTO 6309 BTB</t>
  </si>
  <si>
    <t>RODAMIENTO 6308 BTB</t>
  </si>
  <si>
    <t>RODAMIENTO 6211 BTB</t>
  </si>
  <si>
    <t>RODAMIENTO 6207 BTB</t>
  </si>
  <si>
    <t>LE BRINDO INFORMACION SOLICITADA/ LE INFORMO SOBRE O.C ENVIADA</t>
  </si>
  <si>
    <t>EL 21-6 ENVIO COTIZACION 835 EL PRECIO POR ESTA COT./ SE PERDIO POR PRECIO</t>
  </si>
  <si>
    <t>017-521566</t>
  </si>
  <si>
    <t>060-214591</t>
  </si>
  <si>
    <t>Danfoss 017-521566 RT121 PRESSURE SWITCH</t>
  </si>
  <si>
    <t>Danfoss 060-214591 KP-36 15-150 Psi</t>
  </si>
  <si>
    <t>LA COT 848 DE 898,13$ MEJORO EL PRECIO CON LA COTIZACION HA 868,04$</t>
  </si>
  <si>
    <t>Dialogar con comprador e informar estatus de
cotizaciones</t>
  </si>
  <si>
    <t>8-9 Week</t>
  </si>
  <si>
    <t>FA77</t>
  </si>
  <si>
    <t>M.R FA77GDRN132S4BE11HR/V SEW EURODRIVE</t>
  </si>
  <si>
    <t>SENSOR INDUCTIVO D/ PROXIMIDAD XSDH603629 TELE</t>
  </si>
  <si>
    <t>SENSOR DE PROXIMIDAD PRL18-5AO AUTONICS</t>
  </si>
  <si>
    <t>SENSOR INDUCTIVO XS618B1MBL2 TELEMECANIQUE</t>
  </si>
  <si>
    <t>Entregar detalles,
 Conversar con Comprador</t>
  </si>
  <si>
    <t>TUBO FLEXIBLE PFAN 8X1,5 NT MARCA FESTO</t>
  </si>
  <si>
    <t>TUBO FLEXIBLE PFAN MARCA FESTO TUBO FLEXIBLE PFAN-6X1-NT 197062</t>
  </si>
  <si>
    <t xml:space="preserve">TERMOSTATO MODEL K50-P1127-001 </t>
  </si>
  <si>
    <t xml:space="preserve">MODULE INPUT TC 1734-IT2I POINT IO 2 CHANNEL TERMOCUPLE MARCA ALLEN BRADLEY </t>
  </si>
  <si>
    <t>153002 RACOR QS1/8-6. MARCA FESTO</t>
  </si>
  <si>
    <t>153032 RACOR QS 6. MARCA FESTO</t>
  </si>
  <si>
    <t>ELECTRO VALVULA 9964 MFH-3-1/4-110VAC MARCA FESTO</t>
  </si>
  <si>
    <t>8 ITEM en total:2484,93$, solo gano 1 item:201,2/ 21000931</t>
  </si>
  <si>
    <t>Dialogar con comprador y pedir informacion sobre ficha tecnica de empaques utilizados</t>
  </si>
  <si>
    <t>AIXA</t>
  </si>
  <si>
    <t>Nuevas solicitudes, CONTACTO DE COBRANZA</t>
  </si>
  <si>
    <t>Dialogar con comprador e informacion de estatus de cotizaciones</t>
  </si>
  <si>
    <t xml:space="preserve">Maracay </t>
  </si>
  <si>
    <t>Control de Temparatura Danfoss EKC202C</t>
  </si>
  <si>
    <t>S-11</t>
  </si>
  <si>
    <t>SENSOR DE PRESION S-11 WIKA</t>
  </si>
  <si>
    <t>MODIFICO COT POR MENOS CANTIDAD DE 15000 A 10000KG 23-6 853:58200$ / 871: 38800$</t>
  </si>
  <si>
    <t>MODIFICO COT POR MENOS CANTIDAD DE 15000 A 10000KG EL 23-6 853:58200$ / 871: 38800$</t>
  </si>
  <si>
    <t>KLEIDIS</t>
  </si>
  <si>
    <t>Dialogar con cobranza por estatus de pago</t>
  </si>
  <si>
    <t>LE BRINDO INFORMACION SOLICITADA</t>
  </si>
  <si>
    <t>Dialogar con comprador e informar envio de cotizacion</t>
  </si>
  <si>
    <t>RN 3001</t>
  </si>
  <si>
    <t>UWT ROTONIVO RN3001 INTERRUPTOR DE NIVEL GIRATO</t>
  </si>
  <si>
    <t>TZN4S-14S</t>
  </si>
  <si>
    <t>CONTROLADOR DE TEMP. AUTONICS TZN4S-14S</t>
  </si>
  <si>
    <t>BOMBAS SUMERGIBLES PARA AGUAS RESIDUALES UNILI</t>
  </si>
  <si>
    <t>PALPLAS</t>
  </si>
  <si>
    <t>PALETA PLASTICA 1,20 x 1,00</t>
  </si>
  <si>
    <t xml:space="preserve">entrego 5 el 2-6 falta 1 por entregar </t>
  </si>
  <si>
    <t>MEJORO EL PRECIO A ESTE ITEM P.I 169,37</t>
  </si>
  <si>
    <t>MEJORO EL PRECIO DE 1 ITEM DE LA COTIZACION 846</t>
  </si>
  <si>
    <t>NO ERA EL PRODUCTO QUE REQUERIA</t>
  </si>
  <si>
    <t>CANCELO O.C NO ERA EL PRODUCTO QUE REQUERIA</t>
  </si>
  <si>
    <t>BR3X100GE</t>
  </si>
  <si>
    <t>TER9A13AN</t>
  </si>
  <si>
    <t>LRD10SCH</t>
  </si>
  <si>
    <t>C25ACHNT</t>
  </si>
  <si>
    <t>RODRIZA4</t>
  </si>
  <si>
    <t>RODRIZA6</t>
  </si>
  <si>
    <t>BREAKER TRIFASICO DE 100 AMP GENERAL E</t>
  </si>
  <si>
    <t>TERMICO DE 9 A 13 AMP ANDELI</t>
  </si>
  <si>
    <t>RELE TERMICO 4 A 6 AMP LRD10 SCHNEIDER</t>
  </si>
  <si>
    <t>CONTACTOR TRIFASICO 25 AMP BOBINA 220 V CHNT</t>
  </si>
  <si>
    <t>ROLLO DRIZA 4MM</t>
  </si>
  <si>
    <t>ROLLO DRIZA 6MM</t>
  </si>
  <si>
    <t>22B-D024N104</t>
  </si>
  <si>
    <t>VARIADOR DE FRECUENCIA ALLEN BRADLEY 22B-D02</t>
  </si>
  <si>
    <t>30 Dias</t>
  </si>
  <si>
    <t>BSPX6201O</t>
  </si>
  <si>
    <t>BALANZA DIGITAL SCOUY SPX6201 OHAUS</t>
  </si>
  <si>
    <t>LAL0082151</t>
  </si>
  <si>
    <t>LAL0082152/ solo gano 1 item /cot total:1957,44$</t>
  </si>
  <si>
    <t>PRONTO LE DARA RESPUESTA</t>
  </si>
  <si>
    <t>SIEMENS 6ES5441-8MA11</t>
  </si>
  <si>
    <t>Dialogar con comprador por tema de O.C y especificacion de prodcto</t>
  </si>
  <si>
    <t>SOLO 5 ITEM 18107  /  MONTO TOTAL : 1783,17$ 790/se modifico 790 por 884</t>
  </si>
  <si>
    <t>realizo la cot.790 y mejoro mejoro 1 item por cot.  884</t>
  </si>
  <si>
    <t>MEJORO EL PRECIO A ESTE ITEM P.I 238,87 /790-884</t>
  </si>
  <si>
    <t>BATERIA LIBERTY PLUS 1250 DUNCAN</t>
  </si>
  <si>
    <t>DIEGO</t>
  </si>
  <si>
    <t>REGIONAL</t>
  </si>
  <si>
    <t>INNOVA</t>
  </si>
  <si>
    <t>Para informar sobre el cambio de Razon social y 
creacion de codigo</t>
  </si>
  <si>
    <t>LE BRINDO INFORMACION SOLICITADA PARA CREACION DE CODGIO</t>
  </si>
  <si>
    <t>PRONTO LE DARA RESPUESTA/ EN 1 O 2 DIAS</t>
  </si>
  <si>
    <t>SIN INFORMACION RELEVANTE/ NO HAY FONDOS</t>
  </si>
  <si>
    <t>Informacion de factura pro forma</t>
  </si>
  <si>
    <t>Dialogar con comprador y pedir especificacion de prodcto</t>
  </si>
  <si>
    <t>r</t>
  </si>
  <si>
    <t>BOQUILLA NOZZLE DE 53U CODF EXCEL 170 VIDEO JET 35</t>
  </si>
  <si>
    <t>VARIADOR DE FRECUENCIA ALLEN BRADLEY 25B-D024</t>
  </si>
  <si>
    <t>9-10 Week</t>
  </si>
  <si>
    <t>25B-D024N104</t>
  </si>
  <si>
    <t>ANULADA MEJORO EL PRECIO</t>
  </si>
  <si>
    <t>MEJORO PRECIO DE LA COT 873 : 1263,34 POR COT 894</t>
  </si>
  <si>
    <t>MEJORO PRECIO DE LA COT 875 : 485,76 POR COT 892</t>
  </si>
  <si>
    <t>MEJORO PRECIO DE LA COT 1600,34 : 485,76 POR COT 891</t>
  </si>
  <si>
    <t>5 Dias</t>
  </si>
  <si>
    <t>GULF SUPER DUTY XLE 15W40</t>
  </si>
  <si>
    <t>LE BRINDO INFORMACION SOLICITADA/ LE INFORMO SOBRE O.C QUE ENVIARA</t>
  </si>
  <si>
    <t>LF670</t>
  </si>
  <si>
    <t>LF777</t>
  </si>
  <si>
    <t>Filtro de aceite Fleetguard LF670</t>
  </si>
  <si>
    <t>Filtro de aceite Fleetguard LF777</t>
  </si>
  <si>
    <t>MTU PT # 0000925005 Equivale a FS19752</t>
  </si>
  <si>
    <t>LAMINA ULTRALENO NEGRO 1" 1MT X 2M</t>
  </si>
  <si>
    <t>BARRA DE 3 1/2" DIAMETRO ULTRALENO BLANCA X MT</t>
  </si>
  <si>
    <t>BARRA ULTRALENO BLANCA 5" X 1MT</t>
  </si>
  <si>
    <t>LAMINA ULTRALENO NEGRO 3/4" ESPESOR</t>
  </si>
  <si>
    <t>LAMINA ULTRALENO NEGRO 1" 25 MM DE ESPESOR</t>
  </si>
  <si>
    <t xml:space="preserve"> 2 Dias</t>
  </si>
  <si>
    <t>KLUBER OIL 4UH1-68N</t>
  </si>
  <si>
    <t>REALIZO NUEVA COTIZACION MEJORO EL PRECIO</t>
  </si>
  <si>
    <t>MEJORO PRECIO DE LA COT 778 : 27454,87  POR COT 3559</t>
  </si>
  <si>
    <t>LAL0082171/SOLO 1 ITEM TOTAL: 24620,56$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</si>
</sst>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Bs.S&quot;* #,##0.00_ ;_ &quot;Bs.S&quot;* \-#,##0.00_ ;_ &quot;Bs.S&quot;* &quot;-&quot;??_ ;_ @_ "/>
    <numFmt numFmtId="164" formatCode="[$$-540A]#,##0.00"/>
    <numFmt numFmtId="165" formatCode="&quot;Bs.S&quot;#,##0.00"/>
    <numFmt numFmtId="166" formatCode="dd/m/yyyy"/>
    <numFmt numFmtId="167" formatCode="[$$-409]#,##0.00"/>
    <numFmt numFmtId="168" formatCode="#&quot;  -   &quot;#"/>
    <numFmt numFmtId="169" formatCode="dd/mm/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rgb="FF1A0DAB"/>
      <name val="Arial"/>
      <family val="2"/>
    </font>
    <font>
      <sz val="11"/>
      <color rgb="FF202124"/>
      <name val="Arial"/>
      <family val="2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66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/>
    <xf numFmtId="1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locked="0"/>
    </xf>
    <xf numFmtId="16" fontId="0" fillId="0" borderId="0" xfId="0" applyNumberFormat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10" fillId="0" borderId="0" xfId="0" applyFont="1"/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3" fillId="0" borderId="0" xfId="0" applyNumberFormat="1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6" fontId="13" fillId="0" borderId="0" xfId="0" applyNumberFormat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hidden="1"/>
    </xf>
    <xf numFmtId="0" fontId="14" fillId="0" borderId="0" xfId="0" applyFont="1" applyAlignment="1">
      <alignment horizontal="center" vertical="center"/>
    </xf>
    <xf numFmtId="14" fontId="14" fillId="3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14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top" wrapText="1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Fill="1"/>
    <xf numFmtId="14" fontId="15" fillId="0" borderId="0" xfId="0" applyNumberFormat="1" applyFont="1" applyAlignment="1" applyProtection="1">
      <alignment horizontal="center"/>
      <protection locked="0"/>
    </xf>
    <xf numFmtId="166" fontId="15" fillId="0" borderId="0" xfId="0" applyNumberFormat="1" applyFont="1" applyAlignment="1" applyProtection="1">
      <alignment horizontal="center"/>
      <protection locked="0"/>
    </xf>
    <xf numFmtId="166" fontId="15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/>
    <xf numFmtId="0" fontId="16" fillId="3" borderId="0" xfId="0" applyFont="1" applyFill="1" applyAlignment="1">
      <alignment horizontal="center" vertical="center" wrapText="1"/>
    </xf>
    <xf numFmtId="14" fontId="15" fillId="0" borderId="0" xfId="0" applyNumberFormat="1" applyFont="1" applyAlignment="1" applyProtection="1">
      <alignment horizontal="center" vertical="center"/>
      <protection locked="0"/>
    </xf>
    <xf numFmtId="14" fontId="15" fillId="0" borderId="0" xfId="0" applyNumberFormat="1" applyFon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8" fontId="0" fillId="0" borderId="0" xfId="0" applyNumberFormat="1"/>
    <xf numFmtId="14" fontId="15" fillId="0" borderId="0" xfId="0" applyNumberFormat="1" applyFont="1" applyAlignment="1" applyProtection="1">
      <alignment horizontal="center"/>
      <protection locked="0"/>
    </xf>
    <xf numFmtId="0" fontId="0" fillId="3" borderId="0" xfId="0" applyNumberFormat="1" applyFill="1" applyAlignment="1" applyProtection="1">
      <alignment horizontal="center" vertical="center" wrapText="1"/>
      <protection locked="0"/>
    </xf>
    <xf numFmtId="164" fontId="0" fillId="5" borderId="0" xfId="0" applyNumberFormat="1" applyFill="1" applyAlignment="1" applyProtection="1">
      <alignment horizontal="center" vertical="center"/>
      <protection hidden="1"/>
    </xf>
    <xf numFmtId="0" fontId="0" fillId="0" borderId="0" xfId="0" applyNumberFormat="1" applyAlignment="1">
      <alignment horizontal="center"/>
    </xf>
    <xf numFmtId="164" fontId="0" fillId="4" borderId="0" xfId="0" applyNumberFormat="1" applyFill="1" applyAlignment="1" applyProtection="1">
      <alignment horizontal="center" vertical="center"/>
      <protection hidden="1"/>
    </xf>
    <xf numFmtId="164" fontId="0" fillId="6" borderId="0" xfId="0" applyNumberFormat="1" applyFill="1" applyAlignment="1" applyProtection="1">
      <alignment horizontal="center" vertical="center"/>
      <protection hidden="1"/>
    </xf>
    <xf numFmtId="164" fontId="0" fillId="7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4" fontId="7" fillId="0" borderId="0" xfId="0" applyNumberFormat="1" applyFont="1" applyAlignment="1" applyProtection="1">
      <alignment horizontal="center" vertical="center"/>
      <protection locked="0"/>
    </xf>
    <xf numFmtId="14" fontId="15" fillId="0" borderId="0" xfId="0" applyNumberFormat="1" applyFont="1" applyAlignment="1" applyProtection="1">
      <alignment horizontal="center"/>
      <protection locked="0"/>
    </xf>
    <xf numFmtId="14" fontId="18" fillId="0" borderId="0" xfId="0" applyNumberFormat="1" applyFont="1" applyAlignment="1" applyProtection="1">
      <alignment horizontal="center"/>
      <protection locked="0"/>
    </xf>
    <xf numFmtId="166" fontId="19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167" fontId="0" fillId="0" borderId="0" xfId="0" applyNumberFormat="1" applyFill="1" applyAlignment="1" applyProtection="1">
      <alignment horizontal="center" vertical="center"/>
      <protection locked="0"/>
    </xf>
    <xf numFmtId="164" fontId="0" fillId="0" borderId="0" xfId="0" applyNumberFormat="1" applyFill="1" applyAlignment="1" applyProtection="1">
      <alignment horizontal="center" vertical="center"/>
      <protection locked="0"/>
    </xf>
    <xf numFmtId="164" fontId="0" fillId="0" borderId="0" xfId="0" applyNumberFormat="1" applyFill="1" applyAlignment="1" applyProtection="1">
      <alignment horizontal="center" vertical="center"/>
      <protection hidden="1"/>
    </xf>
    <xf numFmtId="165" fontId="0" fillId="0" borderId="0" xfId="0" applyNumberFormat="1" applyFill="1" applyAlignment="1" applyProtection="1">
      <alignment horizontal="center" vertical="center"/>
      <protection hidden="1"/>
    </xf>
    <xf numFmtId="165" fontId="0" fillId="0" borderId="0" xfId="0" applyNumberFormat="1" applyFill="1" applyAlignment="1" applyProtection="1">
      <alignment horizontal="center" vertical="center"/>
      <protection locked="0"/>
    </xf>
    <xf numFmtId="16" fontId="0" fillId="0" borderId="0" xfId="0" applyNumberFormat="1" applyFill="1" applyAlignment="1" applyProtection="1">
      <alignment horizontal="center" vertical="center"/>
      <protection locked="0"/>
    </xf>
    <xf numFmtId="166" fontId="0" fillId="0" borderId="0" xfId="0" applyNumberFormat="1" applyFill="1" applyAlignment="1" applyProtection="1">
      <alignment horizontal="center" vertical="center"/>
      <protection locked="0"/>
    </xf>
    <xf numFmtId="0" fontId="2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14" fontId="7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0" fontId="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21" fillId="0" borderId="3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10" fontId="2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20" fillId="0" borderId="1" xfId="0" applyFont="1" applyBorder="1"/>
    <xf numFmtId="164" fontId="0" fillId="0" borderId="1" xfId="0" applyNumberFormat="1" applyBorder="1" applyAlignment="1">
      <alignment horizontal="center"/>
    </xf>
    <xf numFmtId="169" fontId="18" fillId="0" borderId="0" xfId="0" applyNumberFormat="1" applyFont="1" applyAlignment="1" applyProtection="1">
      <alignment horizontal="center"/>
      <protection locked="0"/>
    </xf>
    <xf numFmtId="164" fontId="18" fillId="0" borderId="0" xfId="0" applyNumberFormat="1" applyFont="1" applyFill="1" applyAlignment="1">
      <alignment horizontal="right"/>
    </xf>
    <xf numFmtId="169" fontId="15" fillId="0" borderId="0" xfId="0" applyNumberFormat="1" applyFont="1" applyAlignment="1" applyProtection="1">
      <alignment horizontal="center"/>
      <protection locked="0"/>
    </xf>
    <xf numFmtId="164" fontId="18" fillId="0" borderId="0" xfId="0" applyNumberFormat="1" applyFont="1" applyAlignment="1">
      <alignment horizontal="center"/>
    </xf>
    <xf numFmtId="169" fontId="0" fillId="0" borderId="0" xfId="0" applyNumberFormat="1" applyAlignment="1" applyProtection="1">
      <alignment horizontal="center" vertical="center"/>
      <protection locked="0"/>
    </xf>
    <xf numFmtId="164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69" fontId="1" fillId="0" borderId="0" xfId="0" applyNumberFormat="1" applyFont="1" applyAlignment="1" applyProtection="1">
      <alignment horizontal="center"/>
      <protection locked="0"/>
    </xf>
    <xf numFmtId="0" fontId="21" fillId="0" borderId="0" xfId="0" applyFont="1" applyBorder="1"/>
    <xf numFmtId="0" fontId="21" fillId="0" borderId="0" xfId="0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24" fillId="0" borderId="0" xfId="0" applyFont="1"/>
    <xf numFmtId="14" fontId="0" fillId="0" borderId="0" xfId="0" applyNumberFormat="1"/>
    <xf numFmtId="0" fontId="14" fillId="3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horizontal="center"/>
    </xf>
    <xf numFmtId="44" fontId="0" fillId="0" borderId="0" xfId="2" applyFont="1"/>
    <xf numFmtId="14" fontId="18" fillId="0" borderId="0" xfId="0" applyNumberFormat="1" applyFont="1" applyAlignment="1" applyProtection="1">
      <alignment horizontal="center" vertical="center"/>
      <protection locked="0"/>
    </xf>
    <xf numFmtId="169" fontId="18" fillId="0" borderId="0" xfId="0" applyNumberFormat="1" applyFont="1" applyAlignment="1" applyProtection="1">
      <alignment horizontal="center" vertical="center"/>
      <protection locked="0"/>
    </xf>
    <xf numFmtId="169" fontId="15" fillId="0" borderId="0" xfId="0" applyNumberFormat="1" applyFont="1" applyAlignment="1" applyProtection="1">
      <alignment horizontal="center" vertical="center"/>
      <protection locked="0"/>
    </xf>
    <xf numFmtId="166" fontId="19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164" fontId="18" fillId="0" borderId="0" xfId="0" applyNumberFormat="1" applyFont="1" applyFill="1" applyAlignment="1">
      <alignment horizontal="right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Fill="1" applyAlignment="1" applyProtection="1">
      <alignment horizontal="center" vertical="center" wrapText="1"/>
      <protection locked="0"/>
    </xf>
    <xf numFmtId="14" fontId="1" fillId="4" borderId="0" xfId="0" applyNumberFormat="1" applyFont="1" applyFill="1" applyAlignment="1" applyProtection="1">
      <alignment horizontal="center"/>
      <protection locked="0"/>
    </xf>
    <xf numFmtId="14" fontId="1" fillId="4" borderId="0" xfId="0" applyNumberFormat="1" applyFont="1" applyFill="1" applyAlignment="1" applyProtection="1">
      <alignment horizontal="center" vertical="center"/>
      <protection locked="0"/>
    </xf>
    <xf numFmtId="14" fontId="13" fillId="4" borderId="0" xfId="0" applyNumberFormat="1" applyFont="1" applyFill="1" applyAlignment="1" applyProtection="1">
      <alignment horizontal="center"/>
      <protection locked="0"/>
    </xf>
    <xf numFmtId="14" fontId="17" fillId="4" borderId="0" xfId="0" applyNumberFormat="1" applyFont="1" applyFill="1" applyAlignment="1" applyProtection="1">
      <alignment horizontal="center"/>
      <protection locked="0"/>
    </xf>
    <xf numFmtId="14" fontId="0" fillId="4" borderId="0" xfId="0" applyNumberFormat="1" applyFill="1" applyAlignment="1">
      <alignment horizontal="center"/>
    </xf>
    <xf numFmtId="14" fontId="18" fillId="4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Fill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3">
    <cellStyle name="Moneda" xfId="2" builtinId="4"/>
    <cellStyle name="Moneda 2" xfId="1" xr:uid="{00000000-0005-0000-0000-000000000000}"/>
    <cellStyle name="Normal" xfId="0" builtinId="0"/>
  </cellStyles>
  <dxfs count="131"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/m/yyyy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numFmt numFmtId="164" formatCode="[$$-540A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$-540A]#,##0.0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/yyyy"/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/yyyy"/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9" formatCode="dd/mm/yyyy"/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/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CC0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CC00"/>
      </font>
    </dxf>
    <dxf>
      <font>
        <b/>
        <i val="0"/>
        <color rgb="FF00CC00"/>
      </font>
    </dxf>
    <dxf>
      <font>
        <b/>
        <i val="0"/>
        <color rgb="FFFF0000"/>
      </font>
    </dxf>
    <dxf>
      <font>
        <b/>
        <i val="0"/>
        <color rgb="FF00CC00"/>
      </font>
    </dxf>
    <dxf>
      <font>
        <b/>
        <i val="0"/>
        <color rgb="FF00CC00"/>
      </font>
    </dxf>
    <dxf>
      <font>
        <b/>
        <i val="0"/>
        <color rgb="FFFF0000"/>
      </font>
    </dxf>
    <dxf>
      <font>
        <b/>
        <i val="0"/>
        <color rgb="FF00B0F0"/>
      </font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6" formatCode="dd/m/yyyy"/>
      <alignment horizontal="center" vertical="center" textRotation="0" wrapText="0" indent="0" justifyLastLine="0" shrinkToFit="0" readingOrder="0"/>
      <protection locked="0" hidden="0"/>
    </dxf>
    <dxf>
      <numFmt numFmtId="165" formatCode="&quot;Bs.S&quot;#,##0.00"/>
      <alignment horizontal="center" vertical="center" textRotation="0" wrapText="0" indent="0" justifyLastLine="0" shrinkToFit="0" readingOrder="0"/>
      <protection locked="0" hidden="0"/>
    </dxf>
    <dxf>
      <numFmt numFmtId="165" formatCode="&quot;Bs.S&quot;#,##0.00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165" formatCode="&quot;Bs.S&quot;#,##0.00"/>
      <alignment horizontal="center" vertical="center" textRotation="0" wrapText="0" indent="0" justifyLastLine="0" shrinkToFit="0" readingOrder="0"/>
      <protection locked="1" hidden="1"/>
    </dxf>
    <dxf>
      <numFmt numFmtId="165" formatCode="&quot;Bs.S&quot;#,##0.00"/>
      <alignment horizontal="center" vertical="center" textRotation="0" wrapText="0" indent="0" justifyLastLine="0" shrinkToFit="0" readingOrder="0"/>
      <protection locked="1" hidden="1"/>
    </dxf>
    <dxf>
      <numFmt numFmtId="164" formatCode="[$$-540A]#,##0.00"/>
      <alignment horizontal="center" vertical="center" textRotation="0" wrapText="0" indent="0" justifyLastLine="0" shrinkToFit="0" readingOrder="0"/>
      <protection locked="1" hidden="1"/>
    </dxf>
    <dxf>
      <numFmt numFmtId="164" formatCode="[$$-540A]#,##0.00"/>
      <alignment horizontal="center" vertical="center" textRotation="0" wrapText="0" indent="0" justifyLastLine="0" shrinkToFit="0" readingOrder="0"/>
      <protection locked="1" hidden="1"/>
    </dxf>
    <dxf>
      <numFmt numFmtId="164" formatCode="[$$-540A]#,##0.00"/>
      <alignment horizontal="center" vertical="center" textRotation="0" wrapText="0" indent="0" justifyLastLine="0" shrinkToFit="0" readingOrder="0"/>
      <protection locked="1" hidden="1"/>
    </dxf>
    <dxf>
      <numFmt numFmtId="164" formatCode="[$$-540A]#,##0.00"/>
      <alignment horizontal="center" vertical="center" textRotation="0" wrapText="0" indent="0" justifyLastLine="0" shrinkToFit="0" readingOrder="0"/>
      <protection locked="1" hidden="1"/>
    </dxf>
    <dxf>
      <numFmt numFmtId="164" formatCode="[$$-540A]#,##0.00"/>
      <alignment horizontal="center" vertical="center" textRotation="0" wrapText="0" indent="0" justifyLastLine="0" shrinkToFit="0" readingOrder="0"/>
      <protection locked="0" hidden="0"/>
    </dxf>
    <dxf>
      <numFmt numFmtId="164" formatCode="[$$-540A]#,##0.00"/>
      <alignment horizontal="center" vertical="center" textRotation="0" wrapText="0" indent="0" justifyLastLine="0" shrinkToFit="0" readingOrder="0"/>
      <protection locked="0" hidden="0"/>
    </dxf>
    <dxf>
      <numFmt numFmtId="167" formatCode="[$$-409]#,##0.00"/>
      <alignment horizontal="center" vertical="center" textRotation="0" wrapText="0" indent="0" justifyLastLine="0" shrinkToFit="0" readingOrder="0"/>
      <protection locked="0" hidden="0"/>
    </dxf>
    <dxf>
      <numFmt numFmtId="167" formatCode="[$$-409]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9" formatCode="dd/mm/yyyy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9" formatCode="dd/mm/yyyy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9" formatCode="dd/mm/yyyy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9" formatCode="dd/mm/yyyy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9" formatCode="d/m/yyyy"/>
      <alignment horizontal="center" vertical="center" textRotation="0" wrapText="0" indent="0" justifyLastLine="0" shrinkToFit="0" readingOrder="0"/>
      <protection locked="0" hidden="0"/>
    </dxf>
    <dxf>
      <numFmt numFmtId="16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00FF99"/>
      <color rgb="FFFF00FF"/>
      <color rgb="FF9900FF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'INDICADORES (M)'!$B$10:$B$15</c:f>
              <c:strCache>
                <c:ptCount val="6"/>
                <c:pt idx="0">
                  <c:v>ANGEL</c:v>
                </c:pt>
                <c:pt idx="1">
                  <c:v>FRANCHESCA</c:v>
                </c:pt>
                <c:pt idx="2">
                  <c:v>HENRY</c:v>
                </c:pt>
                <c:pt idx="3">
                  <c:v>JESUS MONTOYA</c:v>
                </c:pt>
                <c:pt idx="4">
                  <c:v>JOSE</c:v>
                </c:pt>
                <c:pt idx="5">
                  <c:v>KEVIN CHIRINOS</c:v>
                </c:pt>
              </c:strCache>
            </c:strRef>
          </c:cat>
          <c:val>
            <c:numRef>
              <c:f>'INDICADORES (M)'!$H$10:$H$15</c:f>
              <c:numCache>
                <c:formatCode>[$$-540A]#,##0.00</c:formatCode>
                <c:ptCount val="6"/>
                <c:pt idx="0">
                  <c:v>2331.67</c:v>
                </c:pt>
                <c:pt idx="1">
                  <c:v>8192.380000000001</c:v>
                </c:pt>
                <c:pt idx="2">
                  <c:v>88951.57</c:v>
                </c:pt>
                <c:pt idx="3">
                  <c:v>0</c:v>
                </c:pt>
                <c:pt idx="4">
                  <c:v>11453.95</c:v>
                </c:pt>
                <c:pt idx="5">
                  <c:v>46108.66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9-47A5-B40B-E78F0BE7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418128"/>
        <c:axId val="611706080"/>
      </c:barChart>
      <c:catAx>
        <c:axId val="4404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11706080"/>
        <c:crosses val="autoZero"/>
        <c:auto val="1"/>
        <c:lblAlgn val="ctr"/>
        <c:lblOffset val="100"/>
        <c:noMultiLvlLbl val="0"/>
      </c:catAx>
      <c:valAx>
        <c:axId val="6117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404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METAS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(M)'!$K$10:$K$15</c:f>
              <c:numCache>
                <c:formatCode>0.00%</c:formatCode>
                <c:ptCount val="6"/>
                <c:pt idx="0">
                  <c:v>0.15544466666666668</c:v>
                </c:pt>
                <c:pt idx="1">
                  <c:v>0.54615866666666668</c:v>
                </c:pt>
                <c:pt idx="2">
                  <c:v>0.80865063636363643</c:v>
                </c:pt>
                <c:pt idx="3">
                  <c:v>0</c:v>
                </c:pt>
                <c:pt idx="4">
                  <c:v>0.38179833333333335</c:v>
                </c:pt>
                <c:pt idx="5">
                  <c:v>3.0739106666666669</c:v>
                </c:pt>
              </c:numCache>
            </c:numRef>
          </c:cat>
          <c:val>
            <c:numRef>
              <c:f>'INDICADORES (M)'!$J$10:$J$15</c:f>
              <c:numCache>
                <c:formatCode>[$$-540A]#,##0.00</c:formatCode>
                <c:ptCount val="6"/>
                <c:pt idx="0">
                  <c:v>15000</c:v>
                </c:pt>
                <c:pt idx="1">
                  <c:v>15000</c:v>
                </c:pt>
                <c:pt idx="2">
                  <c:v>110000</c:v>
                </c:pt>
                <c:pt idx="3">
                  <c:v>0</c:v>
                </c:pt>
                <c:pt idx="4">
                  <c:v>30000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9-475B-80D9-852E4B1DF5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'INDICADORES (M)'!$K$10:$K$15</c:f>
              <c:numCache>
                <c:formatCode>0.00%</c:formatCode>
                <c:ptCount val="6"/>
                <c:pt idx="0">
                  <c:v>0.15544466666666668</c:v>
                </c:pt>
                <c:pt idx="1">
                  <c:v>0.54615866666666668</c:v>
                </c:pt>
                <c:pt idx="2">
                  <c:v>0.80865063636363643</c:v>
                </c:pt>
                <c:pt idx="3">
                  <c:v>0</c:v>
                </c:pt>
                <c:pt idx="4">
                  <c:v>0.38179833333333335</c:v>
                </c:pt>
                <c:pt idx="5">
                  <c:v>3.0739106666666669</c:v>
                </c:pt>
              </c:numCache>
            </c:numRef>
          </c:cat>
          <c:val>
            <c:numRef>
              <c:f>'INDICADORES (M)'!$K$10:$K$15</c:f>
              <c:numCache>
                <c:formatCode>0.00%</c:formatCode>
                <c:ptCount val="6"/>
                <c:pt idx="0">
                  <c:v>0.15544466666666668</c:v>
                </c:pt>
                <c:pt idx="1">
                  <c:v>0.54615866666666668</c:v>
                </c:pt>
                <c:pt idx="2">
                  <c:v>0.80865063636363643</c:v>
                </c:pt>
                <c:pt idx="3">
                  <c:v>0</c:v>
                </c:pt>
                <c:pt idx="4">
                  <c:v>0.38179833333333335</c:v>
                </c:pt>
                <c:pt idx="5">
                  <c:v>3.0739106666666669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9-475B-80D9-852E4B1D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78320"/>
        <c:axId val="608177336"/>
      </c:barChart>
      <c:catAx>
        <c:axId val="6081783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08177336"/>
        <c:crosses val="autoZero"/>
        <c:auto val="1"/>
        <c:lblAlgn val="ctr"/>
        <c:lblOffset val="100"/>
        <c:noMultiLvlLbl val="0"/>
      </c:catAx>
      <c:valAx>
        <c:axId val="6081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081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161925</xdr:rowOff>
    </xdr:from>
    <xdr:to>
      <xdr:col>0</xdr:col>
      <xdr:colOff>3143542</xdr:colOff>
      <xdr:row>5</xdr:row>
      <xdr:rowOff>167218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52425"/>
          <a:ext cx="2479513" cy="767293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2</xdr:row>
      <xdr:rowOff>104775</xdr:rowOff>
    </xdr:from>
    <xdr:to>
      <xdr:col>10</xdr:col>
      <xdr:colOff>2930988</xdr:colOff>
      <xdr:row>6</xdr:row>
      <xdr:rowOff>123083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48175" y="485775"/>
          <a:ext cx="5674188" cy="78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2000" b="1">
              <a:latin typeface="Times New Roman" panose="02020603050405020304" pitchFamily="18" charset="0"/>
              <a:cs typeface="Times New Roman" panose="02020603050405020304" pitchFamily="18" charset="0"/>
            </a:rPr>
            <a:t>Base de Datos </a:t>
          </a:r>
        </a:p>
        <a:p>
          <a:pPr algn="ctr"/>
          <a:r>
            <a:rPr lang="es-VE" sz="2000" b="1">
              <a:latin typeface="Times New Roman" panose="02020603050405020304" pitchFamily="18" charset="0"/>
              <a:cs typeface="Times New Roman" panose="02020603050405020304" pitchFamily="18" charset="0"/>
            </a:rPr>
            <a:t>Industrias Impro</a:t>
          </a:r>
        </a:p>
      </xdr:txBody>
    </xdr:sp>
    <xdr:clientData/>
  </xdr:twoCellAnchor>
  <xdr:twoCellAnchor editAs="absolute">
    <xdr:from>
      <xdr:col>0</xdr:col>
      <xdr:colOff>106912</xdr:colOff>
      <xdr:row>7</xdr:row>
      <xdr:rowOff>165439</xdr:rowOff>
    </xdr:from>
    <xdr:to>
      <xdr:col>0</xdr:col>
      <xdr:colOff>1448189</xdr:colOff>
      <xdr:row>15</xdr:row>
      <xdr:rowOff>9720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echa de Envío&#10;Cotización">
              <a:extLst>
                <a:ext uri="{FF2B5EF4-FFF2-40B4-BE49-F238E27FC236}">
                  <a16:creationId xmlns:a16="http://schemas.microsoft.com/office/drawing/2014/main" id="{D970E80B-80F3-4F39-BB3A-A65B5618B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de Envío&#10;Cotiz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12" y="1526153"/>
              <a:ext cx="1341277" cy="1778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145790</xdr:colOff>
      <xdr:row>15</xdr:row>
      <xdr:rowOff>165438</xdr:rowOff>
    </xdr:from>
    <xdr:to>
      <xdr:col>0</xdr:col>
      <xdr:colOff>1448189</xdr:colOff>
      <xdr:row>23</xdr:row>
      <xdr:rowOff>145791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liente / Empresa">
              <a:extLst>
                <a:ext uri="{FF2B5EF4-FFF2-40B4-BE49-F238E27FC236}">
                  <a16:creationId xmlns:a16="http://schemas.microsoft.com/office/drawing/2014/main" id="{67CD0456-946A-402C-B11A-154F7046A7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/ 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90" y="3460310"/>
              <a:ext cx="1302399" cy="1535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1866122</xdr:colOff>
      <xdr:row>7</xdr:row>
      <xdr:rowOff>169231</xdr:rowOff>
    </xdr:from>
    <xdr:to>
      <xdr:col>0</xdr:col>
      <xdr:colOff>3158801</xdr:colOff>
      <xdr:row>15</xdr:row>
      <xdr:rowOff>18550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Vendedor 1">
              <a:extLst>
                <a:ext uri="{FF2B5EF4-FFF2-40B4-BE49-F238E27FC236}">
                  <a16:creationId xmlns:a16="http://schemas.microsoft.com/office/drawing/2014/main" id="{82F03879-E4D4-41B2-86E8-AAC99F277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122" y="1529945"/>
              <a:ext cx="1292679" cy="1783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1866122</xdr:colOff>
      <xdr:row>15</xdr:row>
      <xdr:rowOff>158815</xdr:rowOff>
    </xdr:from>
    <xdr:to>
      <xdr:col>0</xdr:col>
      <xdr:colOff>3119924</xdr:colOff>
      <xdr:row>23</xdr:row>
      <xdr:rowOff>106914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Estatus de &#10;Cotización">
              <a:extLst>
                <a:ext uri="{FF2B5EF4-FFF2-40B4-BE49-F238E27FC236}">
                  <a16:creationId xmlns:a16="http://schemas.microsoft.com/office/drawing/2014/main" id="{519BC5BC-894A-4566-867E-6BC36095EC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de &#10;Cotiz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122" y="3453687"/>
              <a:ext cx="1253802" cy="150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670638</xdr:colOff>
      <xdr:row>24</xdr:row>
      <xdr:rowOff>110218</xdr:rowOff>
    </xdr:from>
    <xdr:to>
      <xdr:col>0</xdr:col>
      <xdr:colOff>2556199</xdr:colOff>
      <xdr:row>30</xdr:row>
      <xdr:rowOff>97194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MES COTIZACION">
              <a:extLst>
                <a:ext uri="{FF2B5EF4-FFF2-40B4-BE49-F238E27FC236}">
                  <a16:creationId xmlns:a16="http://schemas.microsoft.com/office/drawing/2014/main" id="{B1BA96C9-2EB7-41F8-AA8A-481F8C8B6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COTIZ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638" y="5154580"/>
              <a:ext cx="1885561" cy="1153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</xdr:rowOff>
    </xdr:from>
    <xdr:to>
      <xdr:col>2</xdr:col>
      <xdr:colOff>866613</xdr:colOff>
      <xdr:row>5</xdr:row>
      <xdr:rowOff>30693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15900"/>
          <a:ext cx="2479513" cy="767293"/>
        </a:xfrm>
        <a:prstGeom prst="rect">
          <a:avLst/>
        </a:prstGeom>
      </xdr:spPr>
    </xdr:pic>
    <xdr:clientData/>
  </xdr:twoCellAnchor>
  <xdr:twoCellAnchor>
    <xdr:from>
      <xdr:col>4</xdr:col>
      <xdr:colOff>698500</xdr:colOff>
      <xdr:row>1</xdr:row>
      <xdr:rowOff>101600</xdr:rowOff>
    </xdr:from>
    <xdr:to>
      <xdr:col>8</xdr:col>
      <xdr:colOff>1155700</xdr:colOff>
      <xdr:row>5</xdr:row>
      <xdr:rowOff>119908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254500" y="292100"/>
          <a:ext cx="6502400" cy="78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VE" sz="2000" b="1">
              <a:latin typeface="Times New Roman" panose="02020603050405020304" pitchFamily="18" charset="0"/>
              <a:cs typeface="Times New Roman" panose="02020603050405020304" pitchFamily="18" charset="0"/>
            </a:rPr>
            <a:t>Base de Datos </a:t>
          </a:r>
        </a:p>
        <a:p>
          <a:pPr algn="ctr"/>
          <a:r>
            <a:rPr lang="es-VE" sz="2000" b="1">
              <a:latin typeface="Times New Roman" panose="02020603050405020304" pitchFamily="18" charset="0"/>
              <a:cs typeface="Times New Roman" panose="02020603050405020304" pitchFamily="18" charset="0"/>
            </a:rPr>
            <a:t>Industrias Impro</a:t>
          </a:r>
        </a:p>
      </xdr:txBody>
    </xdr:sp>
    <xdr:clientData/>
  </xdr:twoCellAnchor>
  <xdr:twoCellAnchor editAs="absolute">
    <xdr:from>
      <xdr:col>0</xdr:col>
      <xdr:colOff>193602</xdr:colOff>
      <xdr:row>2</xdr:row>
      <xdr:rowOff>53164</xdr:rowOff>
    </xdr:from>
    <xdr:to>
      <xdr:col>0</xdr:col>
      <xdr:colOff>1539506</xdr:colOff>
      <xdr:row>7</xdr:row>
      <xdr:rowOff>33227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es&#10;Cotizacion">
              <a:extLst>
                <a:ext uri="{FF2B5EF4-FFF2-40B4-BE49-F238E27FC236}">
                  <a16:creationId xmlns:a16="http://schemas.microsoft.com/office/drawing/2014/main" id="{282B161C-FE5A-422F-82FD-B8DEBAF3D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&#10;Cotiz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02" y="429734"/>
              <a:ext cx="1345904" cy="1209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182526</xdr:colOff>
      <xdr:row>16</xdr:row>
      <xdr:rowOff>177209</xdr:rowOff>
    </xdr:from>
    <xdr:to>
      <xdr:col>0</xdr:col>
      <xdr:colOff>1539506</xdr:colOff>
      <xdr:row>27</xdr:row>
      <xdr:rowOff>188286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8258B364-A320-4407-A181-761166ABE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526" y="5039390"/>
              <a:ext cx="1356980" cy="2204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193599</xdr:colOff>
      <xdr:row>8</xdr:row>
      <xdr:rowOff>141768</xdr:rowOff>
    </xdr:from>
    <xdr:to>
      <xdr:col>0</xdr:col>
      <xdr:colOff>1550580</xdr:colOff>
      <xdr:row>15</xdr:row>
      <xdr:rowOff>155058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TATUS">
              <a:extLst>
                <a:ext uri="{FF2B5EF4-FFF2-40B4-BE49-F238E27FC236}">
                  <a16:creationId xmlns:a16="http://schemas.microsoft.com/office/drawing/2014/main" id="{D9FF9CB2-C11F-43C8-A268-99CD0C148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99" y="3409064"/>
              <a:ext cx="1356981" cy="1408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171450</xdr:colOff>
      <xdr:row>28</xdr:row>
      <xdr:rowOff>91929</xdr:rowOff>
    </xdr:from>
    <xdr:to>
      <xdr:col>0</xdr:col>
      <xdr:colOff>1583808</xdr:colOff>
      <xdr:row>35</xdr:row>
      <xdr:rowOff>44303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es&#10;O.C">
              <a:extLst>
                <a:ext uri="{FF2B5EF4-FFF2-40B4-BE49-F238E27FC236}">
                  <a16:creationId xmlns:a16="http://schemas.microsoft.com/office/drawing/2014/main" id="{A66C9EA4-317E-4FDD-84BE-725F52BA1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&#10;O.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859109"/>
              <a:ext cx="1412358" cy="1347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104775</xdr:rowOff>
    </xdr:from>
    <xdr:to>
      <xdr:col>2</xdr:col>
      <xdr:colOff>1542738</xdr:colOff>
      <xdr:row>5</xdr:row>
      <xdr:rowOff>142775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95275"/>
          <a:ext cx="2495238" cy="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1219200</xdr:colOff>
      <xdr:row>4</xdr:row>
      <xdr:rowOff>127824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2181225" cy="699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278780</xdr:colOff>
      <xdr:row>0</xdr:row>
      <xdr:rowOff>120573</xdr:rowOff>
    </xdr:from>
    <xdr:to>
      <xdr:col>19</xdr:col>
      <xdr:colOff>360092</xdr:colOff>
      <xdr:row>6</xdr:row>
      <xdr:rowOff>101523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13109" y="120573"/>
          <a:ext cx="13114300" cy="1096072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2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INFORME VENTAS</a:t>
          </a:r>
          <a:endParaRPr lang="es-VE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357071</xdr:colOff>
      <xdr:row>0</xdr:row>
      <xdr:rowOff>158671</xdr:rowOff>
    </xdr:from>
    <xdr:to>
      <xdr:col>5</xdr:col>
      <xdr:colOff>566309</xdr:colOff>
      <xdr:row>6</xdr:row>
      <xdr:rowOff>20442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0364" y="158671"/>
          <a:ext cx="2509177" cy="976893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2</xdr:row>
      <xdr:rowOff>190499</xdr:rowOff>
    </xdr:from>
    <xdr:to>
      <xdr:col>9</xdr:col>
      <xdr:colOff>190501</xdr:colOff>
      <xdr:row>9</xdr:row>
      <xdr:rowOff>142874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1A176C6D-5433-4DFE-869F-F5A2992EE7E4}"/>
            </a:ext>
          </a:extLst>
        </xdr:cNvPr>
        <xdr:cNvSpPr txBox="1"/>
      </xdr:nvSpPr>
      <xdr:spPr>
        <a:xfrm>
          <a:off x="1524001" y="190499"/>
          <a:ext cx="8210550" cy="1285875"/>
        </a:xfrm>
        <a:prstGeom prst="rect">
          <a:avLst/>
        </a:prstGeom>
        <a:gradFill>
          <a:gsLst>
            <a:gs pos="0">
              <a:srgbClr val="4472C4">
                <a:lumMod val="5000"/>
                <a:lumOff val="95000"/>
              </a:srgbClr>
            </a:gs>
            <a:gs pos="74000">
              <a:srgbClr val="4472C4">
                <a:lumMod val="45000"/>
                <a:lumOff val="55000"/>
              </a:srgbClr>
            </a:gs>
            <a:gs pos="83000">
              <a:srgbClr val="4472C4">
                <a:lumMod val="45000"/>
                <a:lumOff val="55000"/>
              </a:srgbClr>
            </a:gs>
            <a:gs pos="100000">
              <a:srgbClr val="4472C4">
                <a:lumMod val="30000"/>
                <a:lumOff val="70000"/>
              </a:srgbClr>
            </a:gs>
          </a:gsLst>
          <a:lin ang="5400000" scaled="1"/>
        </a:gra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VE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INDICADORES</a:t>
          </a:r>
        </a:p>
      </xdr:txBody>
    </xdr:sp>
    <xdr:clientData/>
  </xdr:twoCellAnchor>
  <xdr:twoCellAnchor editAs="oneCell">
    <xdr:from>
      <xdr:col>2</xdr:col>
      <xdr:colOff>238125</xdr:colOff>
      <xdr:row>3</xdr:row>
      <xdr:rowOff>123825</xdr:rowOff>
    </xdr:from>
    <xdr:to>
      <xdr:col>4</xdr:col>
      <xdr:colOff>314325</xdr:colOff>
      <xdr:row>8</xdr:row>
      <xdr:rowOff>39079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F94877-43FB-453A-A37C-857CBA0A6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314325"/>
          <a:ext cx="2228850" cy="867754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11</xdr:col>
      <xdr:colOff>19050</xdr:colOff>
      <xdr:row>6</xdr:row>
      <xdr:rowOff>29272</xdr:rowOff>
    </xdr:to>
    <xdr:sp macro="" textlink="">
      <xdr:nvSpPr>
        <xdr:cNvPr id="6" name="CuadroTex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71525" y="76200"/>
          <a:ext cx="8724900" cy="1096072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2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INDICADORES</a:t>
          </a:r>
          <a:endParaRPr lang="es-VE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85726</xdr:colOff>
      <xdr:row>1</xdr:row>
      <xdr:rowOff>1</xdr:rowOff>
    </xdr:from>
    <xdr:to>
      <xdr:col>3</xdr:col>
      <xdr:colOff>152401</xdr:colOff>
      <xdr:row>5</xdr:row>
      <xdr:rowOff>105755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6" y="190501"/>
          <a:ext cx="2228850" cy="867754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12</xdr:col>
      <xdr:colOff>192548</xdr:colOff>
      <xdr:row>4</xdr:row>
      <xdr:rowOff>108360</xdr:rowOff>
    </xdr:from>
    <xdr:to>
      <xdr:col>19</xdr:col>
      <xdr:colOff>360092</xdr:colOff>
      <xdr:row>14</xdr:row>
      <xdr:rowOff>198899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8B868E-5567-4DBB-A23B-E675A572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59403</xdr:colOff>
      <xdr:row>17</xdr:row>
      <xdr:rowOff>67392</xdr:rowOff>
    </xdr:from>
    <xdr:to>
      <xdr:col>17</xdr:col>
      <xdr:colOff>647290</xdr:colOff>
      <xdr:row>30</xdr:row>
      <xdr:rowOff>75996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D3C15F-2D34-4F74-B12D-965F80E3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742950</xdr:colOff>
      <xdr:row>7</xdr:row>
      <xdr:rowOff>0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62000" y="190500"/>
          <a:ext cx="10648950" cy="114300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2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INDICADORES</a:t>
          </a:r>
          <a:endParaRPr lang="es-VE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104775</xdr:colOff>
      <xdr:row>1</xdr:row>
      <xdr:rowOff>123825</xdr:rowOff>
    </xdr:from>
    <xdr:to>
      <xdr:col>1</xdr:col>
      <xdr:colOff>2333625</xdr:colOff>
      <xdr:row>6</xdr:row>
      <xdr:rowOff>39079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314325"/>
          <a:ext cx="2228850" cy="867754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Cotizacion" xr10:uid="{8F3FD305-09BB-4307-AF77-353FA136D3F3}" sourceName="Mes_x000a_Cotizacion">
  <extLst>
    <x:ext xmlns:x15="http://schemas.microsoft.com/office/spreadsheetml/2010/11/main" uri="{2F2917AC-EB37-4324-AD4E-5DD8C200BD13}">
      <x15:tableSlicerCache tableId="4" column="1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267FCA62-A68A-4D4F-9C73-499E5914D85E}" sourceName="Vendedor">
  <extLst>
    <x:ext xmlns:x15="http://schemas.microsoft.com/office/spreadsheetml/2010/11/main" uri="{2F2917AC-EB37-4324-AD4E-5DD8C200BD13}">
      <x15:tableSlicerCache tableId="4" column="19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" xr10:uid="{F5E8B97B-2B48-47E3-B37D-B4AEB23E8C7C}" sourceName="STATUS">
  <extLst>
    <x:ext xmlns:x15="http://schemas.microsoft.com/office/spreadsheetml/2010/11/main" uri="{2F2917AC-EB37-4324-AD4E-5DD8C200BD13}">
      <x15:tableSlicerCache tableId="4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de_Envío_Cotización" xr10:uid="{5354C4E7-0C45-4320-B0CB-A509917FEDF5}" sourceName="Fecha de Envío_x000a_Cotizació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___Empresa" xr10:uid="{FDA2CF06-D526-453F-87C4-74FEF7E8DB9E}" sourceName="Cliente / Empresa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A515F75D-E601-4B80-B043-990EEBD5E680}" sourceName="Vendedor">
  <extLst>
    <x:ext xmlns:x15="http://schemas.microsoft.com/office/spreadsheetml/2010/11/main" uri="{2F2917AC-EB37-4324-AD4E-5DD8C200BD13}">
      <x15:tableSlicerCache tableId="1" column="2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_de__Cotización" xr10:uid="{25EA4D91-D450-4210-BA57-94ED240F83B8}" sourceName="Estatus de _x000a_Cotizació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COTIZACION1" xr10:uid="{8A9EAC09-072B-478A-A3F2-280FBDD70D72}" sourceName="MES COTIZACION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O.C" xr10:uid="{E98A6792-9902-4C31-95D4-F5011D9CEF46}" sourceName="Mes_x000a_O.C">
  <extLst>
    <x:ext xmlns:x15="http://schemas.microsoft.com/office/spreadsheetml/2010/11/main" uri="{2F2917AC-EB37-4324-AD4E-5DD8C200BD13}">
      <x15:tableSlicerCache tableId="4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de Envío_x000a_Cotización" xr10:uid="{6481568E-AAF5-4418-9F8B-4930261E6471}" cache="SegmentaciónDeDatos_Fecha_de_Envío_Cotización" caption="Fecha de Envío_x000a_Cotización" rowHeight="241300"/>
  <slicer name="Cliente / Empresa" xr10:uid="{9EC1565E-22D1-40EC-8E3C-3977BAAEF61C}" cache="SegmentaciónDeDatos_Cliente___Empresa" caption="Cliente / Empresa" rowHeight="241300"/>
  <slicer name="Vendedor 1" xr10:uid="{5155240E-CDDE-4320-BAE0-CB83CB271B66}" cache="SegmentaciónDeDatos_Vendedor1" caption="Vendedor" rowHeight="241300"/>
  <slicer name="Estatus de _x000a_Cotización" xr10:uid="{38906834-DFD4-4235-BD2A-E9DF8491D673}" cache="SegmentaciónDeDatos_Estatus_de__Cotización" caption="Estatus de _x000a_Cotización" rowHeight="241300"/>
  <slicer name="MES COTIZACION" xr10:uid="{47D6CCF2-45D8-42AB-91E0-C7467FBB7568}" cache="SegmentaciónDeDatos_MES_COTIZACION1" caption="MES COTIZACION" startItem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_x000a_Cotizacion" xr10:uid="{3D679322-81D5-4A62-8E9D-CEF896BF1C2C}" cache="SegmentaciónDeDatos_Mes_Cotizacion" caption="Mes_x000a_Cotizacion" rowHeight="241300"/>
  <slicer name="Vendedor" xr10:uid="{937B5C2E-42DF-4A06-81F9-4F165502D372}" cache="SegmentaciónDeDatos_Vendedor" caption="Vendedor" rowHeight="241300"/>
  <slicer name="STATUS" xr10:uid="{6E74A327-9182-4166-9B72-19E04A85C235}" cache="SegmentaciónDeDatos_STATUS" caption="STATUS" rowHeight="241300"/>
  <slicer name="Mes_x000a_O.C" xr10:uid="{8A47F8B8-B441-4AF3-AF14-F2DB47EAAAD7}" cache="SegmentaciónDeDatos_Mes_O.C" caption="Mes_x000a_O.C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9:AA1327" headerRowDxfId="128" dataDxfId="127">
  <autoFilter ref="B9:AA1327" xr:uid="{62EDA039-5FD6-4055-A3D3-06BE1FD29DE0}"/>
  <sortState xmlns:xlrd2="http://schemas.microsoft.com/office/spreadsheetml/2017/richdata2" ref="B722:AA972">
    <sortCondition descending="1" ref="M9:M1324"/>
  </sortState>
  <tableColumns count="26">
    <tableColumn id="35" xr3:uid="{00000000-0010-0000-0000-000023000000}" name="Fecha Recibe_x000a_Cotización" dataDxfId="126" totalsRowDxfId="125"/>
    <tableColumn id="15" xr3:uid="{5932046B-BAE4-48FE-9F95-0E70F9C8F4FB}" name="MES COTIZACION" dataDxfId="124" totalsRowDxfId="123">
      <calculatedColumnFormula>TEXT(data[[#This Row],[Fecha de Envío
Cotización]],"MMMM")</calculatedColumnFormula>
    </tableColumn>
    <tableColumn id="1" xr3:uid="{00000000-0010-0000-0000-000001000000}" name="Fecha de Envío_x000a_Cotización" dataDxfId="122" totalsRowDxfId="121"/>
    <tableColumn id="8" xr3:uid="{00000000-0010-0000-0000-000008000000}" name="Fecha Recibe_x000a_O.C" dataDxfId="120" totalsRowDxfId="119"/>
    <tableColumn id="4" xr3:uid="{00000000-0010-0000-0000-000004000000}" name="Fecha de E.P" dataDxfId="118" totalsRowDxfId="117"/>
    <tableColumn id="14" xr3:uid="{00000000-0010-0000-0000-00000E000000}" name="N° O.C" dataDxfId="116" totalsRowDxfId="115"/>
    <tableColumn id="36" xr3:uid="{00000000-0010-0000-0000-000024000000}" name="Fecha de Envío_x000a_O.C" dataDxfId="114" totalsRowDxfId="113"/>
    <tableColumn id="9" xr3:uid="{00000000-0010-0000-0000-000009000000}" name="N° Requerimiento" dataDxfId="112" totalsRowDxfId="111"/>
    <tableColumn id="2" xr3:uid="{00000000-0010-0000-0000-000002000000}" name="Nº Cotización" dataDxfId="110" totalsRowDxfId="109"/>
    <tableColumn id="3" xr3:uid="{00000000-0010-0000-0000-000003000000}" name="Cliente / Empresa" dataDxfId="108" totalsRowDxfId="107"/>
    <tableColumn id="5" xr3:uid="{00000000-0010-0000-0000-000005000000}" name="Proveedor " dataDxfId="106" totalsRowDxfId="105"/>
    <tableColumn id="6" xr3:uid="{00000000-0010-0000-0000-000006000000}" name="Descripción del Producto" totalsRowDxfId="104"/>
    <tableColumn id="7" xr3:uid="{00000000-0010-0000-0000-000007000000}" name="Cantidad" dataDxfId="103" totalsRowDxfId="102"/>
    <tableColumn id="12" xr3:uid="{00000000-0010-0000-0000-00000C000000}" name="Costo Producto_x000a_Proveedor ($/Unid)" dataDxfId="101" totalsRowDxfId="100"/>
    <tableColumn id="13" xr3:uid="{00000000-0010-0000-0000-00000D000000}" name="Precio de Venta Cliente ($/Unid)" dataDxfId="99" totalsRowDxfId="98"/>
    <tableColumn id="20" xr3:uid="{00000000-0010-0000-0000-000014000000}" name="Costo  Total Producto_x000a_Proveedor ($)" dataDxfId="97" totalsRowDxfId="96">
      <calculatedColumnFormula>data[[#This Row],[Costo Producto
Proveedor ($/Unid)]]*data[[#This Row],[Cantidad]]</calculatedColumnFormula>
    </tableColumn>
    <tableColumn id="19" xr3:uid="{00000000-0010-0000-0000-000013000000}" name="Precio Total de Venta Cliente ($)" totalsRowFunction="sum" dataDxfId="95" totalsRowDxfId="94">
      <calculatedColumnFormula>data[[#This Row],[Cantidad]]*data[[#This Row],[Precio de Venta Cliente ($/Unid)]]</calculatedColumnFormula>
    </tableColumn>
    <tableColumn id="26" xr3:uid="{00000000-0010-0000-0000-00001A000000}" name="Tasa Cotización_x000a_(BS.s)" dataDxfId="93" totalsRowDxfId="92"/>
    <tableColumn id="22" xr3:uid="{00000000-0010-0000-0000-000016000000}" name="Tiempo de Entrega_x000a_Cliente" dataDxfId="91" totalsRowDxfId="90"/>
    <tableColumn id="33" xr3:uid="{00000000-0010-0000-0000-000021000000}" name="Tiempo de Entrega_x000a_Proveedor" dataDxfId="89" totalsRowDxfId="88"/>
    <tableColumn id="10" xr3:uid="{00000000-0010-0000-0000-00000A000000}" name="Estatus de _x000a_Cotización" dataDxfId="87" totalsRowDxfId="86"/>
    <tableColumn id="31" xr3:uid="{00000000-0010-0000-0000-00001F000000}" name="Estatus de _x000a_O.C" dataDxfId="85" totalsRowDxfId="84"/>
    <tableColumn id="11" xr3:uid="{00000000-0010-0000-0000-00000B000000}" name="Estatus de _x000a_Despacho" dataDxfId="83" totalsRowDxfId="82"/>
    <tableColumn id="24" xr3:uid="{00000000-0010-0000-0000-000018000000}" name="Estatus de _x000a_Cobro" dataDxfId="81" totalsRowDxfId="80"/>
    <tableColumn id="25" xr3:uid="{00000000-0010-0000-0000-000019000000}" name="Vendedor" dataDxfId="79" totalsRowDxfId="78"/>
    <tableColumn id="23" xr3:uid="{00000000-0010-0000-0000-000017000000}" name="Observación" dataDxfId="77" totalsRowDxfId="7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VEND" displayName="VEND" ref="B7:X747" headerRowDxfId="57" dataDxfId="56">
  <autoFilter ref="B7:X747" xr:uid="{544F8F3F-016B-44BB-B975-747252DE341A}"/>
  <sortState xmlns:xlrd2="http://schemas.microsoft.com/office/spreadsheetml/2017/richdata2" ref="B8:X738">
    <sortCondition ref="B8:B738"/>
  </sortState>
  <tableColumns count="23">
    <tableColumn id="1" xr3:uid="{00000000-0010-0000-0100-000001000000}" name="Fecha de Envío_x000a_Cotización" totalsRowLabel="Total" dataDxfId="55" totalsRowDxfId="54"/>
    <tableColumn id="12" xr3:uid="{00000000-0010-0000-0100-00000C000000}" name="Mes_x000a_Cotizacion" dataDxfId="53" totalsRowDxfId="52">
      <calculatedColumnFormula>TEXT(VEND[[#This Row],[Fecha de Envío
Cotización]],"mmmm")</calculatedColumnFormula>
    </tableColumn>
    <tableColumn id="19" xr3:uid="{00000000-0010-0000-0100-000013000000}" name="Vendedor" dataDxfId="51"/>
    <tableColumn id="7" xr3:uid="{00000000-0010-0000-0100-000007000000}" name="STATUS" totalsRowFunction="count" dataDxfId="50" totalsRowDxfId="49"/>
    <tableColumn id="2" xr3:uid="{00000000-0010-0000-0100-000002000000}" name="Fecha Recibe_x000a_O.C" dataDxfId="48" totalsRowDxfId="47"/>
    <tableColumn id="11" xr3:uid="{00000000-0010-0000-0100-00000B000000}" name="Mes_x000a_O.C" dataDxfId="46" totalsRowDxfId="45">
      <calculatedColumnFormula>TEXT(VEND[[#This Row],[Fecha Recibe
O.C]],"mmmm")</calculatedColumnFormula>
    </tableColumn>
    <tableColumn id="3" xr3:uid="{00000000-0010-0000-0100-000003000000}" name="Nº Cotización" dataDxfId="44" totalsRowDxfId="43"/>
    <tableColumn id="4" xr3:uid="{00000000-0010-0000-0100-000004000000}" name="Cliente / Empresa" dataDxfId="42"/>
    <tableColumn id="5" xr3:uid="{00000000-0010-0000-0100-000005000000}" name="Proveedor " dataDxfId="41"/>
    <tableColumn id="6" xr3:uid="{00000000-0010-0000-0100-000006000000}" name="N° ITEM" dataDxfId="40" totalsRowDxfId="39"/>
    <tableColumn id="8" xr3:uid="{00000000-0010-0000-0100-000008000000}" name="Monto Cotizado_x000a_($/Unid)" totalsRowFunction="sum" dataDxfId="38" totalsRowDxfId="37"/>
    <tableColumn id="13" xr3:uid="{00000000-0010-0000-0100-00000D000000}" name="Tiempo de Entrega_x000a_Cliente" dataDxfId="36"/>
    <tableColumn id="21" xr3:uid="{B148B7DF-42A8-4401-95B9-F361A940C8CD}" name="Dias_x000a_entrega " dataDxfId="35"/>
    <tableColumn id="10" xr3:uid="{E4870075-009C-46A9-A95B-F1B427BB7623}" name="Fecha Estimada de Entrega a  Cliente" dataDxfId="34">
      <calculatedColumnFormula>IF(VEND[[#This Row],[STATUS]]="O.C",(VEND[[#This Row],[Fecha Recibe
O.C]]+VEND[[#This Row],[Dias
entrega ]]),"")</calculatedColumnFormula>
    </tableColumn>
    <tableColumn id="14" xr3:uid="{00000000-0010-0000-0100-00000E000000}" name="Fecha de Despacho" dataDxfId="33"/>
    <tableColumn id="23" xr3:uid="{D69BBF4D-A820-40F4-9A63-412D22163B72}" name="Dias de _x000a_Atraso" dataDxfId="32">
      <calculatedColumnFormula>IFERROR(VEND[[#This Row],[Fecha de Despacho]]-VEND[[#This Row],[Fecha Estimada de Entrega a  Cliente]],"")</calculatedColumnFormula>
    </tableColumn>
    <tableColumn id="22" xr3:uid="{8D4FE8B7-63BB-47FB-A986-FD2FC222C182}" name="Estatus" dataDxfId="31">
      <calculatedColumnFormula>IFERROR(_xlfn.IFS(VEND[[#This Row],[Fecha de Despacho]]&gt;VEND[[#This Row],[Fecha Estimada de Entrega a  Cliente]],"ATRASADO",VEND[[#This Row],[Fecha de Despacho]]&lt;=VEND[[#This Row],[Fecha Estimada de Entrega a  Cliente]],"A TIEMPO"),"")</calculatedColumnFormula>
    </tableColumn>
    <tableColumn id="15" xr3:uid="{00000000-0010-0000-0100-00000F000000}" name="Estatus de _x000a_Cotización" dataDxfId="30">
      <calculatedColumnFormula>IF(VEND[[#This Row],[STATUS]]="O.C","APROBADO",IF(VEND[[#This Row],[STATUS]]="PERDIDO","PERDIDO",IF(VEND[[#This Row],[STATUS]]="EN ESPERA","EN ESPERA")))</calculatedColumnFormula>
    </tableColumn>
    <tableColumn id="16" xr3:uid="{00000000-0010-0000-0100-000010000000}" name="Estatus de _x000a_O.C" dataDxfId="29">
      <calculatedColumnFormula>IF(VEND[[#This Row],[STATUS]]="O.C","APROBADO",IF(VEND[[#This Row],[STATUS]]="PERDIDO","PERDIDO",IF(VEND[[#This Row],[STATUS]]="EN ESPERA","EN ESPERA")))</calculatedColumnFormula>
    </tableColumn>
    <tableColumn id="17" xr3:uid="{00000000-0010-0000-0100-000011000000}" name="Estatus de _x000a_Despacho" dataDxfId="28"/>
    <tableColumn id="18" xr3:uid="{00000000-0010-0000-0100-000012000000}" name="Estatus de _x000a_Cobro" dataDxfId="27"/>
    <tableColumn id="9" xr3:uid="{00000000-0010-0000-0100-000009000000}" name="Estado/ Ciudad" dataDxfId="26"/>
    <tableColumn id="20" xr3:uid="{00000000-0010-0000-0100-000014000000}" name="Observación" dataDxfId="25" totals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B9:F74" totalsRowShown="0" headerRowDxfId="23" dataDxfId="22">
  <autoFilter ref="B9:F74" xr:uid="{00000000-0009-0000-0100-000002000000}"/>
  <sortState xmlns:xlrd2="http://schemas.microsoft.com/office/spreadsheetml/2017/richdata2" ref="B10:F74">
    <sortCondition ref="C10:C74"/>
  </sortState>
  <tableColumns count="5">
    <tableColumn id="1" xr3:uid="{00000000-0010-0000-0200-000001000000}" name="RIF" dataDxfId="21"/>
    <tableColumn id="2" xr3:uid="{00000000-0010-0000-0200-000002000000}" name="Cliente" dataDxfId="20"/>
    <tableColumn id="3" xr3:uid="{00000000-0010-0000-0200-000003000000}" name="Dirección" dataDxfId="19"/>
    <tableColumn id="4" xr3:uid="{00000000-0010-0000-0200-000004000000}" name="Telefono" dataDxfId="18"/>
    <tableColumn id="5" xr3:uid="{00000000-0010-0000-0200-000005000000}" name="Correo" dataDxfId="1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visitas" displayName="visitas" ref="B6:I77" totalsRowShown="0" headerRowDxfId="16" dataDxfId="15">
  <autoFilter ref="B6:I77" xr:uid="{00000000-0009-0000-0100-000005000000}"/>
  <sortState xmlns:xlrd2="http://schemas.microsoft.com/office/spreadsheetml/2017/richdata2" ref="B7:I54">
    <sortCondition ref="G7:G54"/>
  </sortState>
  <tableColumns count="8">
    <tableColumn id="1" xr3:uid="{00000000-0010-0000-0300-000001000000}" name="Vendedor" dataDxfId="14"/>
    <tableColumn id="5" xr3:uid="{00000000-0010-0000-0300-000005000000}" name="Cliente" dataDxfId="13"/>
    <tableColumn id="11" xr3:uid="{00000000-0010-0000-0300-00000B000000}" name="TIPO DE CLIENTE" dataDxfId="12"/>
    <tableColumn id="7" xr3:uid="{00000000-0010-0000-0300-000007000000}" name="Motivo de la_x000a_Visita" dataDxfId="11"/>
    <tableColumn id="10" xr3:uid="{00000000-0010-0000-0300-00000A000000}" name="Enlaces" dataDxfId="10"/>
    <tableColumn id="2" xr3:uid="{00000000-0010-0000-0300-000002000000}" name="FECHA" dataDxfId="9"/>
    <tableColumn id="3" xr3:uid="{00000000-0010-0000-0300-000003000000}" name="Mes" dataDxfId="8">
      <calculatedColumnFormula>TEXT(visitas[[#This Row],[FECHA]],"mmmm")</calculatedColumnFormula>
    </tableColumn>
    <tableColumn id="8" xr3:uid="{00000000-0010-0000-0300-000008000000}" name="Resultado de la_x000a_Visita" dataDxfId="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llamadas" displayName="llamadas" ref="B5:G244" totalsRowShown="0" headerRowDxfId="6">
  <autoFilter ref="B5:G244" xr:uid="{00000000-0009-0000-0100-000007000000}"/>
  <sortState xmlns:xlrd2="http://schemas.microsoft.com/office/spreadsheetml/2017/richdata2" ref="B6:G95">
    <sortCondition ref="E6:E95"/>
  </sortState>
  <tableColumns count="6">
    <tableColumn id="1" xr3:uid="{00000000-0010-0000-0400-000001000000}" name="Vendedor" dataDxfId="5"/>
    <tableColumn id="2" xr3:uid="{00000000-0010-0000-0400-000002000000}" name="Cliente" dataDxfId="4"/>
    <tableColumn id="3" xr3:uid="{00000000-0010-0000-0400-000003000000}" name="Motivo de la Llamada/ MSJ" dataDxfId="3"/>
    <tableColumn id="5" xr3:uid="{00000000-0010-0000-0400-000005000000}" name="Fecha" dataDxfId="2"/>
    <tableColumn id="6" xr3:uid="{00000000-0010-0000-0400-000006000000}" name="Comprador" dataDxfId="1"/>
    <tableColumn id="4" xr3:uid="{00000000-0010-0000-0400-000004000000}" name="Resultado de la_x000a_llama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8:AA1327"/>
  <sheetViews>
    <sheetView showGridLines="0" topLeftCell="P143" zoomScale="98" zoomScaleNormal="98" workbookViewId="0">
      <selection activeCell="P149" sqref="P149"/>
    </sheetView>
  </sheetViews>
  <sheetFormatPr baseColWidth="10" defaultRowHeight="15" x14ac:dyDescent="0.25"/>
  <cols>
    <col min="1" max="1" width="50.85546875" customWidth="1"/>
    <col min="2" max="2" width="14.7109375" bestFit="1" customWidth="1"/>
    <col min="3" max="3" width="14.7109375" style="105" customWidth="1"/>
    <col min="4" max="4" width="14.7109375" bestFit="1" customWidth="1"/>
    <col min="5" max="5" width="15.140625" customWidth="1"/>
    <col min="6" max="6" width="16.5703125" bestFit="1" customWidth="1"/>
    <col min="7" max="7" width="14.7109375" style="118" customWidth="1"/>
    <col min="8" max="8" width="18.7109375" customWidth="1"/>
    <col min="9" max="9" width="18.7109375" style="90" customWidth="1"/>
    <col min="10" max="10" width="20.85546875" style="91" customWidth="1"/>
    <col min="11" max="11" width="54.42578125" bestFit="1" customWidth="1"/>
    <col min="12" max="12" width="15.28515625" customWidth="1"/>
    <col min="13" max="13" width="96.140625" bestFit="1" customWidth="1"/>
    <col min="14" max="14" width="11.42578125" customWidth="1"/>
    <col min="15" max="15" width="38" bestFit="1" customWidth="1"/>
    <col min="16" max="16" width="17.7109375" bestFit="1" customWidth="1"/>
    <col min="17" max="17" width="15.85546875" customWidth="1"/>
    <col min="18" max="18" width="16" bestFit="1" customWidth="1"/>
    <col min="19" max="19" width="14.7109375" customWidth="1"/>
    <col min="20" max="20" width="22.28515625" customWidth="1"/>
    <col min="21" max="21" width="16.28515625" customWidth="1"/>
    <col min="22" max="22" width="11.42578125" customWidth="1"/>
    <col min="23" max="24" width="14.5703125" customWidth="1"/>
    <col min="25" max="25" width="11.42578125" customWidth="1"/>
    <col min="26" max="26" width="14.42578125" bestFit="1" customWidth="1"/>
    <col min="27" max="27" width="103.5703125" bestFit="1" customWidth="1"/>
  </cols>
  <sheetData>
    <row r="8" spans="2:27" x14ac:dyDescent="0.25">
      <c r="I8" s="90">
        <f>MAX(data[N° Requerimiento])+1</f>
        <v>12190259602</v>
      </c>
    </row>
    <row r="9" spans="2:27" ht="45" x14ac:dyDescent="0.25">
      <c r="B9" s="72" t="s">
        <v>432</v>
      </c>
      <c r="C9" s="72" t="s">
        <v>2401</v>
      </c>
      <c r="D9" s="72" t="s">
        <v>35</v>
      </c>
      <c r="E9" s="72" t="s">
        <v>30</v>
      </c>
      <c r="F9" s="72" t="s">
        <v>433</v>
      </c>
      <c r="G9" s="116" t="s">
        <v>1466</v>
      </c>
      <c r="H9" s="72" t="s">
        <v>434</v>
      </c>
      <c r="I9" s="72" t="s">
        <v>1378</v>
      </c>
      <c r="J9" s="72" t="s">
        <v>4</v>
      </c>
      <c r="K9" s="73" t="s">
        <v>1</v>
      </c>
      <c r="L9" s="73" t="s">
        <v>0</v>
      </c>
      <c r="M9" s="73" t="s">
        <v>435</v>
      </c>
      <c r="N9" s="73" t="s">
        <v>436</v>
      </c>
      <c r="O9" s="73" t="s">
        <v>437</v>
      </c>
      <c r="P9" s="72" t="s">
        <v>438</v>
      </c>
      <c r="Q9" s="74" t="s">
        <v>439</v>
      </c>
      <c r="R9" s="74" t="s">
        <v>440</v>
      </c>
      <c r="S9" s="72" t="s">
        <v>441</v>
      </c>
      <c r="T9" s="72" t="s">
        <v>17</v>
      </c>
      <c r="U9" s="72" t="s">
        <v>2</v>
      </c>
      <c r="V9" s="72" t="s">
        <v>8</v>
      </c>
      <c r="W9" s="72" t="s">
        <v>25</v>
      </c>
      <c r="X9" s="72" t="s">
        <v>3</v>
      </c>
      <c r="Y9" s="72" t="s">
        <v>10</v>
      </c>
      <c r="Z9" s="72" t="s">
        <v>11</v>
      </c>
      <c r="AA9" s="72" t="s">
        <v>9</v>
      </c>
    </row>
    <row r="10" spans="2:27" x14ac:dyDescent="0.25">
      <c r="B10" s="130"/>
      <c r="C10" s="130" t="str">
        <f>TEXT(data[[#This Row],[Fecha de Envío
Cotización]],"MMMM")</f>
        <v>marzo</v>
      </c>
      <c r="D10" s="130">
        <v>44260</v>
      </c>
      <c r="E10" s="174" t="str">
        <f>IF(data[[#This Row],[Estatus de 
Cotización]]="PERDIDO","N/A","")</f>
        <v>N/A</v>
      </c>
      <c r="F10" s="130"/>
      <c r="G10" s="86"/>
      <c r="H10" s="130"/>
      <c r="I10" s="86">
        <v>511522</v>
      </c>
      <c r="J10" s="87">
        <v>1455</v>
      </c>
      <c r="K10" s="131" t="s">
        <v>40</v>
      </c>
      <c r="L10" s="87"/>
      <c r="M10" s="132" t="s">
        <v>442</v>
      </c>
      <c r="N10" s="87">
        <v>4</v>
      </c>
      <c r="O10" s="133"/>
      <c r="P10" s="134">
        <v>1200</v>
      </c>
      <c r="Q10" s="135">
        <f>data[[#This Row],[Costo Producto
Proveedor ($/Unid)]]*data[[#This Row],[Cantidad]]</f>
        <v>0</v>
      </c>
      <c r="R10" s="135">
        <f>data[[#This Row],[Cantidad]]*data[[#This Row],[Precio de Venta Cliente ($/Unid)]]</f>
        <v>4800</v>
      </c>
      <c r="S10" s="136"/>
      <c r="T10" s="87" t="s">
        <v>15</v>
      </c>
      <c r="U10" s="87"/>
      <c r="V10" s="137" t="s">
        <v>42</v>
      </c>
      <c r="W10" s="130" t="s">
        <v>42</v>
      </c>
      <c r="X10" s="87" t="s">
        <v>23</v>
      </c>
      <c r="Y10" s="87" t="s">
        <v>23</v>
      </c>
      <c r="Z10" s="87" t="s">
        <v>41</v>
      </c>
      <c r="AA10" s="87" t="s">
        <v>43</v>
      </c>
    </row>
    <row r="11" spans="2:27" x14ac:dyDescent="0.25">
      <c r="B11" s="130"/>
      <c r="C11" s="130" t="str">
        <f>TEXT(data[[#This Row],[Fecha de Envío
Cotización]],"MMMM")</f>
        <v>marzo</v>
      </c>
      <c r="D11" s="130">
        <v>44260</v>
      </c>
      <c r="E11" s="174" t="str">
        <f>IF(data[[#This Row],[Estatus de 
Cotización]]="PERDIDO","N/A","")</f>
        <v>N/A</v>
      </c>
      <c r="F11" s="130"/>
      <c r="G11" s="86"/>
      <c r="H11" s="130"/>
      <c r="I11" s="86">
        <v>511523</v>
      </c>
      <c r="J11" s="87">
        <v>1455</v>
      </c>
      <c r="K11" s="131" t="s">
        <v>40</v>
      </c>
      <c r="L11" s="87"/>
      <c r="M11" s="132" t="s">
        <v>443</v>
      </c>
      <c r="N11" s="87">
        <v>1</v>
      </c>
      <c r="O11" s="133"/>
      <c r="P11" s="134">
        <v>1750</v>
      </c>
      <c r="Q11" s="135">
        <f>data[[#This Row],[Costo Producto
Proveedor ($/Unid)]]*data[[#This Row],[Cantidad]]</f>
        <v>0</v>
      </c>
      <c r="R11" s="135">
        <f>data[[#This Row],[Cantidad]]*data[[#This Row],[Precio de Venta Cliente ($/Unid)]]</f>
        <v>1750</v>
      </c>
      <c r="S11" s="136"/>
      <c r="T11" s="87" t="s">
        <v>15</v>
      </c>
      <c r="U11" s="87"/>
      <c r="V11" s="137" t="s">
        <v>42</v>
      </c>
      <c r="W11" s="130" t="s">
        <v>42</v>
      </c>
      <c r="X11" s="87" t="s">
        <v>23</v>
      </c>
      <c r="Y11" s="87" t="s">
        <v>23</v>
      </c>
      <c r="Z11" s="87" t="s">
        <v>41</v>
      </c>
      <c r="AA11" s="87" t="s">
        <v>43</v>
      </c>
    </row>
    <row r="12" spans="2:27" x14ac:dyDescent="0.25">
      <c r="B12" s="130"/>
      <c r="C12" s="130" t="str">
        <f>TEXT(data[[#This Row],[Fecha de Envío
Cotización]],"MMMM")</f>
        <v>marzo</v>
      </c>
      <c r="D12" s="130">
        <v>44260</v>
      </c>
      <c r="E12" s="174" t="str">
        <f>IF(data[[#This Row],[Estatus de 
Cotización]]="PERDIDO","N/A","")</f>
        <v>N/A</v>
      </c>
      <c r="F12" s="130"/>
      <c r="G12" s="86"/>
      <c r="H12" s="130"/>
      <c r="I12" s="86">
        <v>511524</v>
      </c>
      <c r="J12" s="87">
        <v>1455</v>
      </c>
      <c r="K12" s="131" t="s">
        <v>40</v>
      </c>
      <c r="L12" s="87"/>
      <c r="M12" s="132" t="s">
        <v>444</v>
      </c>
      <c r="N12" s="87">
        <v>1</v>
      </c>
      <c r="O12" s="133"/>
      <c r="P12" s="134">
        <v>44.5</v>
      </c>
      <c r="Q12" s="135">
        <f>data[[#This Row],[Costo Producto
Proveedor ($/Unid)]]*data[[#This Row],[Cantidad]]</f>
        <v>0</v>
      </c>
      <c r="R12" s="135">
        <f>data[[#This Row],[Cantidad]]*data[[#This Row],[Precio de Venta Cliente ($/Unid)]]</f>
        <v>44.5</v>
      </c>
      <c r="S12" s="136"/>
      <c r="T12" s="87" t="s">
        <v>15</v>
      </c>
      <c r="U12" s="87"/>
      <c r="V12" s="137" t="s">
        <v>42</v>
      </c>
      <c r="W12" s="130" t="s">
        <v>42</v>
      </c>
      <c r="X12" s="87" t="s">
        <v>23</v>
      </c>
      <c r="Y12" s="87" t="s">
        <v>23</v>
      </c>
      <c r="Z12" s="87" t="s">
        <v>41</v>
      </c>
      <c r="AA12" s="87" t="s">
        <v>43</v>
      </c>
    </row>
    <row r="13" spans="2:27" x14ac:dyDescent="0.25">
      <c r="B13" s="130"/>
      <c r="C13" s="130" t="str">
        <f>TEXT(data[[#This Row],[Fecha de Envío
Cotización]],"MMMM")</f>
        <v>marzo</v>
      </c>
      <c r="D13" s="130">
        <v>44260</v>
      </c>
      <c r="E13" s="174" t="str">
        <f>IF(data[[#This Row],[Estatus de 
Cotización]]="PERDIDO","N/A","")</f>
        <v>N/A</v>
      </c>
      <c r="F13" s="130"/>
      <c r="G13" s="86"/>
      <c r="H13" s="130"/>
      <c r="I13" s="86">
        <v>511525</v>
      </c>
      <c r="J13" s="87">
        <v>1455</v>
      </c>
      <c r="K13" s="131" t="s">
        <v>40</v>
      </c>
      <c r="L13" s="87"/>
      <c r="M13" s="132" t="s">
        <v>445</v>
      </c>
      <c r="N13" s="87">
        <v>1</v>
      </c>
      <c r="O13" s="133"/>
      <c r="P13" s="134">
        <v>279.5</v>
      </c>
      <c r="Q13" s="135">
        <f>data[[#This Row],[Costo Producto
Proveedor ($/Unid)]]*data[[#This Row],[Cantidad]]</f>
        <v>0</v>
      </c>
      <c r="R13" s="135">
        <f>data[[#This Row],[Cantidad]]*data[[#This Row],[Precio de Venta Cliente ($/Unid)]]</f>
        <v>279.5</v>
      </c>
      <c r="S13" s="136"/>
      <c r="T13" s="87" t="s">
        <v>15</v>
      </c>
      <c r="U13" s="87"/>
      <c r="V13" s="137" t="s">
        <v>42</v>
      </c>
      <c r="W13" s="130" t="s">
        <v>42</v>
      </c>
      <c r="X13" s="87" t="s">
        <v>23</v>
      </c>
      <c r="Y13" s="87" t="s">
        <v>23</v>
      </c>
      <c r="Z13" s="87" t="s">
        <v>41</v>
      </c>
      <c r="AA13" s="87" t="s">
        <v>43</v>
      </c>
    </row>
    <row r="14" spans="2:27" x14ac:dyDescent="0.25">
      <c r="B14" s="130"/>
      <c r="C14" s="130" t="str">
        <f>TEXT(data[[#This Row],[Fecha de Envío
Cotización]],"MMMM")</f>
        <v>marzo</v>
      </c>
      <c r="D14" s="130">
        <v>44260</v>
      </c>
      <c r="E14" s="174" t="str">
        <f>IF(data[[#This Row],[Estatus de 
Cotización]]="PERDIDO","N/A","")</f>
        <v>N/A</v>
      </c>
      <c r="F14" s="130"/>
      <c r="G14" s="86"/>
      <c r="H14" s="130"/>
      <c r="I14" s="86">
        <v>511526</v>
      </c>
      <c r="J14" s="87">
        <v>1455</v>
      </c>
      <c r="K14" s="131" t="s">
        <v>40</v>
      </c>
      <c r="L14" s="87"/>
      <c r="M14" s="132" t="s">
        <v>446</v>
      </c>
      <c r="N14" s="87">
        <v>1</v>
      </c>
      <c r="O14" s="133"/>
      <c r="P14" s="134">
        <v>170.3</v>
      </c>
      <c r="Q14" s="135">
        <f>data[[#This Row],[Costo Producto
Proveedor ($/Unid)]]*data[[#This Row],[Cantidad]]</f>
        <v>0</v>
      </c>
      <c r="R14" s="135">
        <f>data[[#This Row],[Cantidad]]*data[[#This Row],[Precio de Venta Cliente ($/Unid)]]</f>
        <v>170.3</v>
      </c>
      <c r="S14" s="136"/>
      <c r="T14" s="87" t="s">
        <v>15</v>
      </c>
      <c r="U14" s="87"/>
      <c r="V14" s="137" t="s">
        <v>42</v>
      </c>
      <c r="W14" s="130" t="s">
        <v>42</v>
      </c>
      <c r="X14" s="87" t="s">
        <v>23</v>
      </c>
      <c r="Y14" s="87" t="s">
        <v>23</v>
      </c>
      <c r="Z14" s="87" t="s">
        <v>41</v>
      </c>
      <c r="AA14" s="87" t="s">
        <v>43</v>
      </c>
    </row>
    <row r="15" spans="2:27" x14ac:dyDescent="0.25">
      <c r="B15" s="130"/>
      <c r="C15" s="130" t="str">
        <f>TEXT(data[[#This Row],[Fecha de Envío
Cotización]],"MMMM")</f>
        <v>marzo</v>
      </c>
      <c r="D15" s="130">
        <v>44260</v>
      </c>
      <c r="E15" s="174" t="str">
        <f>IF(data[[#This Row],[Estatus de 
Cotización]]="PERDIDO","N/A","")</f>
        <v>N/A</v>
      </c>
      <c r="F15" s="130"/>
      <c r="G15" s="86"/>
      <c r="H15" s="130"/>
      <c r="I15" s="86">
        <v>511527</v>
      </c>
      <c r="J15" s="87">
        <v>1455</v>
      </c>
      <c r="K15" s="131" t="s">
        <v>40</v>
      </c>
      <c r="L15" s="87"/>
      <c r="M15" s="132" t="s">
        <v>447</v>
      </c>
      <c r="N15" s="87">
        <v>1</v>
      </c>
      <c r="O15" s="133"/>
      <c r="P15" s="134">
        <v>403</v>
      </c>
      <c r="Q15" s="135">
        <f>data[[#This Row],[Costo Producto
Proveedor ($/Unid)]]*data[[#This Row],[Cantidad]]</f>
        <v>0</v>
      </c>
      <c r="R15" s="135">
        <f>data[[#This Row],[Cantidad]]*data[[#This Row],[Precio de Venta Cliente ($/Unid)]]</f>
        <v>403</v>
      </c>
      <c r="S15" s="136"/>
      <c r="T15" s="87" t="s">
        <v>15</v>
      </c>
      <c r="U15" s="87"/>
      <c r="V15" s="137" t="s">
        <v>42</v>
      </c>
      <c r="W15" s="130" t="s">
        <v>42</v>
      </c>
      <c r="X15" s="87" t="s">
        <v>23</v>
      </c>
      <c r="Y15" s="87" t="s">
        <v>23</v>
      </c>
      <c r="Z15" s="87" t="s">
        <v>41</v>
      </c>
      <c r="AA15" s="87" t="s">
        <v>43</v>
      </c>
    </row>
    <row r="16" spans="2:27" x14ac:dyDescent="0.25">
      <c r="B16" s="130"/>
      <c r="C16" s="130" t="str">
        <f>TEXT(data[[#This Row],[Fecha de Envío
Cotización]],"MMMM")</f>
        <v>marzo</v>
      </c>
      <c r="D16" s="130">
        <v>44260</v>
      </c>
      <c r="E16" s="174" t="str">
        <f>IF(data[[#This Row],[Estatus de 
Cotización]]="PERDIDO","N/A","")</f>
        <v>N/A</v>
      </c>
      <c r="F16" s="130"/>
      <c r="G16" s="86"/>
      <c r="H16" s="130"/>
      <c r="I16" s="86">
        <v>511528</v>
      </c>
      <c r="J16" s="87">
        <v>1455</v>
      </c>
      <c r="K16" s="131" t="s">
        <v>40</v>
      </c>
      <c r="L16" s="87"/>
      <c r="M16" s="132" t="s">
        <v>448</v>
      </c>
      <c r="N16" s="87">
        <v>2</v>
      </c>
      <c r="O16" s="133"/>
      <c r="P16" s="134">
        <v>25.75</v>
      </c>
      <c r="Q16" s="135">
        <f>data[[#This Row],[Costo Producto
Proveedor ($/Unid)]]*data[[#This Row],[Cantidad]]</f>
        <v>0</v>
      </c>
      <c r="R16" s="135">
        <f>data[[#This Row],[Cantidad]]*data[[#This Row],[Precio de Venta Cliente ($/Unid)]]</f>
        <v>51.5</v>
      </c>
      <c r="S16" s="136"/>
      <c r="T16" s="87" t="s">
        <v>15</v>
      </c>
      <c r="U16" s="87"/>
      <c r="V16" s="137" t="s">
        <v>42</v>
      </c>
      <c r="W16" s="130" t="s">
        <v>42</v>
      </c>
      <c r="X16" s="87" t="s">
        <v>23</v>
      </c>
      <c r="Y16" s="87" t="s">
        <v>23</v>
      </c>
      <c r="Z16" s="87" t="s">
        <v>41</v>
      </c>
      <c r="AA16" s="87" t="s">
        <v>43</v>
      </c>
    </row>
    <row r="17" spans="2:27" x14ac:dyDescent="0.25">
      <c r="B17" s="130"/>
      <c r="C17" s="130" t="str">
        <f>TEXT(data[[#This Row],[Fecha de Envío
Cotización]],"MMMM")</f>
        <v>marzo</v>
      </c>
      <c r="D17" s="130">
        <v>44260</v>
      </c>
      <c r="E17" s="174" t="str">
        <f>IF(data[[#This Row],[Estatus de 
Cotización]]="PERDIDO","N/A","")</f>
        <v>N/A</v>
      </c>
      <c r="F17" s="130"/>
      <c r="G17" s="86"/>
      <c r="H17" s="130"/>
      <c r="I17" s="86">
        <v>511529</v>
      </c>
      <c r="J17" s="87">
        <v>1455</v>
      </c>
      <c r="K17" s="131" t="s">
        <v>40</v>
      </c>
      <c r="L17" s="87"/>
      <c r="M17" s="132" t="s">
        <v>449</v>
      </c>
      <c r="N17" s="87">
        <v>1</v>
      </c>
      <c r="O17" s="133"/>
      <c r="P17" s="134">
        <v>1309</v>
      </c>
      <c r="Q17" s="135">
        <f>data[[#This Row],[Costo Producto
Proveedor ($/Unid)]]*data[[#This Row],[Cantidad]]</f>
        <v>0</v>
      </c>
      <c r="R17" s="135">
        <f>data[[#This Row],[Cantidad]]*data[[#This Row],[Precio de Venta Cliente ($/Unid)]]</f>
        <v>1309</v>
      </c>
      <c r="S17" s="136"/>
      <c r="T17" s="87" t="s">
        <v>15</v>
      </c>
      <c r="U17" s="87"/>
      <c r="V17" s="137" t="s">
        <v>42</v>
      </c>
      <c r="W17" s="130" t="s">
        <v>42</v>
      </c>
      <c r="X17" s="87" t="s">
        <v>23</v>
      </c>
      <c r="Y17" s="87" t="s">
        <v>23</v>
      </c>
      <c r="Z17" s="87" t="s">
        <v>41</v>
      </c>
      <c r="AA17" s="87" t="s">
        <v>43</v>
      </c>
    </row>
    <row r="18" spans="2:27" x14ac:dyDescent="0.25">
      <c r="B18" s="130"/>
      <c r="C18" s="130" t="str">
        <f>TEXT(data[[#This Row],[Fecha de Envío
Cotización]],"MMMM")</f>
        <v>marzo</v>
      </c>
      <c r="D18" s="130">
        <v>44266</v>
      </c>
      <c r="E18" s="174" t="str">
        <f>IF(data[[#This Row],[Estatus de 
Cotización]]="PERDIDO","N/A","")</f>
        <v>N/A</v>
      </c>
      <c r="F18" s="130"/>
      <c r="G18" s="86"/>
      <c r="H18" s="130"/>
      <c r="I18" s="86">
        <v>511564</v>
      </c>
      <c r="J18" s="87">
        <v>1500</v>
      </c>
      <c r="K18" s="131" t="s">
        <v>49</v>
      </c>
      <c r="L18" s="87"/>
      <c r="M18" s="132" t="s">
        <v>450</v>
      </c>
      <c r="N18" s="87">
        <v>1</v>
      </c>
      <c r="O18" s="133"/>
      <c r="P18" s="134">
        <v>140</v>
      </c>
      <c r="Q18" s="135">
        <f>data[[#This Row],[Costo Producto
Proveedor ($/Unid)]]*data[[#This Row],[Cantidad]]</f>
        <v>0</v>
      </c>
      <c r="R18" s="135">
        <f>data[[#This Row],[Cantidad]]*data[[#This Row],[Precio de Venta Cliente ($/Unid)]]</f>
        <v>140</v>
      </c>
      <c r="S18" s="136"/>
      <c r="T18" s="87" t="s">
        <v>15</v>
      </c>
      <c r="U18" s="87"/>
      <c r="V18" s="137" t="s">
        <v>42</v>
      </c>
      <c r="W18" s="130" t="s">
        <v>42</v>
      </c>
      <c r="X18" s="87" t="s">
        <v>23</v>
      </c>
      <c r="Y18" s="87" t="s">
        <v>23</v>
      </c>
      <c r="Z18" s="87" t="s">
        <v>41</v>
      </c>
      <c r="AA18" s="87" t="s">
        <v>48</v>
      </c>
    </row>
    <row r="19" spans="2:27" x14ac:dyDescent="0.25">
      <c r="B19" s="130"/>
      <c r="C19" s="130" t="str">
        <f>TEXT(data[[#This Row],[Fecha de Envío
Cotización]],"MMMM")</f>
        <v>marzo</v>
      </c>
      <c r="D19" s="130">
        <v>44266</v>
      </c>
      <c r="E19" s="174" t="str">
        <f>IF(data[[#This Row],[Estatus de 
Cotización]]="PERDIDO","N/A","")</f>
        <v>N/A</v>
      </c>
      <c r="F19" s="130"/>
      <c r="G19" s="86"/>
      <c r="H19" s="130"/>
      <c r="I19" s="86">
        <v>511565</v>
      </c>
      <c r="J19" s="87">
        <v>1500</v>
      </c>
      <c r="K19" s="131" t="s">
        <v>49</v>
      </c>
      <c r="L19" s="87"/>
      <c r="M19" s="132" t="s">
        <v>451</v>
      </c>
      <c r="N19" s="87">
        <v>1</v>
      </c>
      <c r="O19" s="133"/>
      <c r="P19" s="134">
        <v>287</v>
      </c>
      <c r="Q19" s="135">
        <f>data[[#This Row],[Costo Producto
Proveedor ($/Unid)]]*data[[#This Row],[Cantidad]]</f>
        <v>0</v>
      </c>
      <c r="R19" s="135">
        <f>data[[#This Row],[Cantidad]]*data[[#This Row],[Precio de Venta Cliente ($/Unid)]]</f>
        <v>287</v>
      </c>
      <c r="S19" s="136"/>
      <c r="T19" s="138" t="s">
        <v>15</v>
      </c>
      <c r="U19" s="87"/>
      <c r="V19" s="137" t="s">
        <v>42</v>
      </c>
      <c r="W19" s="130" t="s">
        <v>42</v>
      </c>
      <c r="X19" s="87" t="s">
        <v>23</v>
      </c>
      <c r="Y19" s="87" t="s">
        <v>23</v>
      </c>
      <c r="Z19" s="87" t="s">
        <v>41</v>
      </c>
      <c r="AA19" s="87" t="s">
        <v>48</v>
      </c>
    </row>
    <row r="20" spans="2:27" x14ac:dyDescent="0.25">
      <c r="B20" s="130"/>
      <c r="C20" s="130" t="str">
        <f>TEXT(data[[#This Row],[Fecha de Envío
Cotización]],"MMMM")</f>
        <v>marzo</v>
      </c>
      <c r="D20" s="130">
        <v>44266</v>
      </c>
      <c r="E20" s="174" t="str">
        <f>IF(data[[#This Row],[Estatus de 
Cotización]]="PERDIDO","N/A","")</f>
        <v>N/A</v>
      </c>
      <c r="F20" s="130"/>
      <c r="G20" s="86"/>
      <c r="H20" s="130"/>
      <c r="I20" s="86">
        <v>511566</v>
      </c>
      <c r="J20" s="87">
        <v>1500</v>
      </c>
      <c r="K20" s="131" t="s">
        <v>49</v>
      </c>
      <c r="L20" s="87"/>
      <c r="M20" s="132" t="s">
        <v>452</v>
      </c>
      <c r="N20" s="87">
        <v>1</v>
      </c>
      <c r="O20" s="133"/>
      <c r="P20" s="134">
        <v>140</v>
      </c>
      <c r="Q20" s="135">
        <f>data[[#This Row],[Costo Producto
Proveedor ($/Unid)]]*data[[#This Row],[Cantidad]]</f>
        <v>0</v>
      </c>
      <c r="R20" s="135">
        <f>data[[#This Row],[Cantidad]]*data[[#This Row],[Precio de Venta Cliente ($/Unid)]]</f>
        <v>140</v>
      </c>
      <c r="S20" s="136"/>
      <c r="T20" s="87" t="s">
        <v>15</v>
      </c>
      <c r="U20" s="87"/>
      <c r="V20" s="137" t="s">
        <v>42</v>
      </c>
      <c r="W20" s="130" t="s">
        <v>42</v>
      </c>
      <c r="X20" s="87" t="s">
        <v>23</v>
      </c>
      <c r="Y20" s="87" t="s">
        <v>23</v>
      </c>
      <c r="Z20" s="87" t="s">
        <v>41</v>
      </c>
      <c r="AA20" s="87" t="s">
        <v>48</v>
      </c>
    </row>
    <row r="21" spans="2:27" x14ac:dyDescent="0.25">
      <c r="B21" s="130"/>
      <c r="C21" s="130" t="str">
        <f>TEXT(data[[#This Row],[Fecha de Envío
Cotización]],"MMMM")</f>
        <v>marzo</v>
      </c>
      <c r="D21" s="130">
        <v>44267</v>
      </c>
      <c r="E21" s="174" t="str">
        <f>IF(data[[#This Row],[Estatus de 
Cotización]]="PERDIDO","N/A","")</f>
        <v>N/A</v>
      </c>
      <c r="F21" s="130"/>
      <c r="G21" s="86"/>
      <c r="H21" s="130"/>
      <c r="I21" s="86">
        <v>511578</v>
      </c>
      <c r="J21" s="87">
        <v>15002</v>
      </c>
      <c r="K21" s="131" t="s">
        <v>61</v>
      </c>
      <c r="L21" s="87"/>
      <c r="M21" s="132" t="s">
        <v>453</v>
      </c>
      <c r="N21" s="87">
        <v>1</v>
      </c>
      <c r="O21" s="133"/>
      <c r="P21" s="134">
        <v>35</v>
      </c>
      <c r="Q21" s="135">
        <f>data[[#This Row],[Costo Producto
Proveedor ($/Unid)]]*data[[#This Row],[Cantidad]]</f>
        <v>0</v>
      </c>
      <c r="R21" s="135">
        <f>data[[#This Row],[Cantidad]]*data[[#This Row],[Precio de Venta Cliente ($/Unid)]]</f>
        <v>35</v>
      </c>
      <c r="S21" s="136"/>
      <c r="T21" s="87" t="s">
        <v>62</v>
      </c>
      <c r="U21" s="87"/>
      <c r="V21" s="137" t="s">
        <v>42</v>
      </c>
      <c r="W21" s="130" t="s">
        <v>42</v>
      </c>
      <c r="X21" s="87" t="s">
        <v>23</v>
      </c>
      <c r="Y21" s="87" t="s">
        <v>23</v>
      </c>
      <c r="Z21" s="87" t="s">
        <v>41</v>
      </c>
      <c r="AA21" s="87" t="s">
        <v>63</v>
      </c>
    </row>
    <row r="22" spans="2:27" x14ac:dyDescent="0.25">
      <c r="B22" s="130"/>
      <c r="C22" s="130" t="str">
        <f>TEXT(data[[#This Row],[Fecha de Envío
Cotización]],"MMMM")</f>
        <v>marzo</v>
      </c>
      <c r="D22" s="130">
        <v>44267</v>
      </c>
      <c r="E22" s="174" t="str">
        <f>IF(data[[#This Row],[Estatus de 
Cotización]]="PERDIDO","N/A","")</f>
        <v>N/A</v>
      </c>
      <c r="F22" s="130"/>
      <c r="G22" s="86"/>
      <c r="H22" s="130"/>
      <c r="I22" s="86">
        <v>511579</v>
      </c>
      <c r="J22" s="87">
        <v>15001</v>
      </c>
      <c r="K22" s="131" t="s">
        <v>61</v>
      </c>
      <c r="L22" s="87"/>
      <c r="M22" s="132" t="s">
        <v>454</v>
      </c>
      <c r="N22" s="87">
        <v>5</v>
      </c>
      <c r="O22" s="133"/>
      <c r="P22" s="134">
        <v>118</v>
      </c>
      <c r="Q22" s="135">
        <f>data[[#This Row],[Costo Producto
Proveedor ($/Unid)]]*data[[#This Row],[Cantidad]]</f>
        <v>0</v>
      </c>
      <c r="R22" s="135">
        <f>data[[#This Row],[Cantidad]]*data[[#This Row],[Precio de Venta Cliente ($/Unid)]]</f>
        <v>590</v>
      </c>
      <c r="S22" s="136"/>
      <c r="T22" s="87" t="s">
        <v>22</v>
      </c>
      <c r="U22" s="87"/>
      <c r="V22" s="137" t="s">
        <v>42</v>
      </c>
      <c r="W22" s="130" t="s">
        <v>42</v>
      </c>
      <c r="X22" s="87" t="s">
        <v>23</v>
      </c>
      <c r="Y22" s="87" t="s">
        <v>23</v>
      </c>
      <c r="Z22" s="87" t="s">
        <v>41</v>
      </c>
      <c r="AA22" s="87" t="s">
        <v>63</v>
      </c>
    </row>
    <row r="23" spans="2:27" x14ac:dyDescent="0.25">
      <c r="B23" s="130"/>
      <c r="C23" s="130" t="str">
        <f>TEXT(data[[#This Row],[Fecha de Envío
Cotización]],"MMMM")</f>
        <v>marzo</v>
      </c>
      <c r="D23" s="130">
        <v>44271</v>
      </c>
      <c r="E23" s="174" t="str">
        <f>IF(data[[#This Row],[Estatus de 
Cotización]]="PERDIDO","N/A","")</f>
        <v>N/A</v>
      </c>
      <c r="F23" s="130"/>
      <c r="G23" s="86"/>
      <c r="H23" s="130"/>
      <c r="I23" s="86">
        <v>511592</v>
      </c>
      <c r="J23" s="87">
        <v>1503</v>
      </c>
      <c r="K23" s="131" t="s">
        <v>52</v>
      </c>
      <c r="L23" s="87"/>
      <c r="M23" s="132" t="s">
        <v>455</v>
      </c>
      <c r="N23" s="87">
        <v>1</v>
      </c>
      <c r="O23" s="133"/>
      <c r="P23" s="134">
        <v>300</v>
      </c>
      <c r="Q23" s="135">
        <f>data[[#This Row],[Costo Producto
Proveedor ($/Unid)]]*data[[#This Row],[Cantidad]]</f>
        <v>0</v>
      </c>
      <c r="R23" s="135">
        <f>data[[#This Row],[Cantidad]]*data[[#This Row],[Precio de Venta Cliente ($/Unid)]]</f>
        <v>300</v>
      </c>
      <c r="S23" s="136"/>
      <c r="T23" s="87" t="s">
        <v>22</v>
      </c>
      <c r="U23" s="87"/>
      <c r="V23" s="137" t="s">
        <v>42</v>
      </c>
      <c r="W23" s="130" t="s">
        <v>42</v>
      </c>
      <c r="X23" s="87" t="s">
        <v>23</v>
      </c>
      <c r="Y23" s="87" t="s">
        <v>23</v>
      </c>
      <c r="Z23" s="87" t="s">
        <v>41</v>
      </c>
      <c r="AA23" s="87"/>
    </row>
    <row r="24" spans="2:27" x14ac:dyDescent="0.25">
      <c r="B24" s="130"/>
      <c r="C24" s="130" t="str">
        <f>TEXT(data[[#This Row],[Fecha de Envío
Cotización]],"MMMM")</f>
        <v>marzo</v>
      </c>
      <c r="D24" s="130">
        <v>44272</v>
      </c>
      <c r="E24" s="174" t="str">
        <f>IF(data[[#This Row],[Estatus de 
Cotización]]="PERDIDO","N/A","")</f>
        <v>N/A</v>
      </c>
      <c r="F24" s="130"/>
      <c r="G24" s="86"/>
      <c r="H24" s="130"/>
      <c r="I24" s="86">
        <v>511597</v>
      </c>
      <c r="J24" s="87">
        <v>1505</v>
      </c>
      <c r="K24" s="131" t="s">
        <v>82</v>
      </c>
      <c r="L24" s="87"/>
      <c r="M24" s="132" t="s">
        <v>456</v>
      </c>
      <c r="N24" s="87">
        <v>8</v>
      </c>
      <c r="O24" s="133"/>
      <c r="P24" s="134">
        <v>705</v>
      </c>
      <c r="Q24" s="135">
        <f>data[[#This Row],[Costo Producto
Proveedor ($/Unid)]]*data[[#This Row],[Cantidad]]</f>
        <v>0</v>
      </c>
      <c r="R24" s="135">
        <f>data[[#This Row],[Cantidad]]*data[[#This Row],[Precio de Venta Cliente ($/Unid)]]</f>
        <v>5640</v>
      </c>
      <c r="S24" s="136"/>
      <c r="T24" s="87" t="s">
        <v>22</v>
      </c>
      <c r="U24" s="87"/>
      <c r="V24" s="137" t="s">
        <v>42</v>
      </c>
      <c r="W24" s="130" t="s">
        <v>42</v>
      </c>
      <c r="X24" s="87" t="s">
        <v>23</v>
      </c>
      <c r="Y24" s="87" t="s">
        <v>23</v>
      </c>
      <c r="Z24" s="87" t="s">
        <v>41</v>
      </c>
      <c r="AA24" s="87"/>
    </row>
    <row r="25" spans="2:27" x14ac:dyDescent="0.25">
      <c r="B25" s="130"/>
      <c r="C25" s="130" t="str">
        <f>TEXT(data[[#This Row],[Fecha de Envío
Cotización]],"MMMM")</f>
        <v>marzo</v>
      </c>
      <c r="D25" s="130">
        <v>44273</v>
      </c>
      <c r="E25" s="174" t="str">
        <f>IF(data[[#This Row],[Estatus de 
Cotización]]="PERDIDO","N/A","")</f>
        <v>N/A</v>
      </c>
      <c r="F25" s="130"/>
      <c r="G25" s="86"/>
      <c r="H25" s="130"/>
      <c r="I25" s="86">
        <v>511613</v>
      </c>
      <c r="J25" s="87">
        <v>1506</v>
      </c>
      <c r="K25" s="131" t="s">
        <v>82</v>
      </c>
      <c r="L25" s="87"/>
      <c r="M25" s="132" t="s">
        <v>457</v>
      </c>
      <c r="N25" s="87">
        <v>4</v>
      </c>
      <c r="O25" s="133"/>
      <c r="P25" s="134">
        <v>78</v>
      </c>
      <c r="Q25" s="135">
        <f>data[[#This Row],[Costo Producto
Proveedor ($/Unid)]]*data[[#This Row],[Cantidad]]</f>
        <v>0</v>
      </c>
      <c r="R25" s="135">
        <f>data[[#This Row],[Cantidad]]*data[[#This Row],[Precio de Venta Cliente ($/Unid)]]</f>
        <v>312</v>
      </c>
      <c r="S25" s="136"/>
      <c r="T25" s="87" t="s">
        <v>22</v>
      </c>
      <c r="U25" s="87"/>
      <c r="V25" s="137" t="s">
        <v>42</v>
      </c>
      <c r="W25" s="130" t="s">
        <v>42</v>
      </c>
      <c r="X25" s="87" t="s">
        <v>23</v>
      </c>
      <c r="Y25" s="87" t="s">
        <v>23</v>
      </c>
      <c r="Z25" s="87" t="s">
        <v>41</v>
      </c>
      <c r="AA25" s="87"/>
    </row>
    <row r="26" spans="2:27" x14ac:dyDescent="0.25">
      <c r="B26" s="130"/>
      <c r="C26" s="130" t="str">
        <f>TEXT(data[[#This Row],[Fecha de Envío
Cotización]],"MMMM")</f>
        <v>marzo</v>
      </c>
      <c r="D26" s="130">
        <v>44277</v>
      </c>
      <c r="E26" s="174" t="str">
        <f>IF(data[[#This Row],[Estatus de 
Cotización]]="PERDIDO","N/A","")</f>
        <v>N/A</v>
      </c>
      <c r="F26" s="130"/>
      <c r="G26" s="86"/>
      <c r="H26" s="130"/>
      <c r="I26" s="86">
        <v>511624</v>
      </c>
      <c r="J26" s="87">
        <v>1605</v>
      </c>
      <c r="K26" s="131" t="s">
        <v>94</v>
      </c>
      <c r="L26" s="87"/>
      <c r="M26" s="132" t="s">
        <v>458</v>
      </c>
      <c r="N26" s="87">
        <v>1</v>
      </c>
      <c r="O26" s="133"/>
      <c r="P26" s="134">
        <v>1678.05</v>
      </c>
      <c r="Q26" s="135">
        <f>data[[#This Row],[Costo Producto
Proveedor ($/Unid)]]*data[[#This Row],[Cantidad]]</f>
        <v>0</v>
      </c>
      <c r="R26" s="135">
        <f>data[[#This Row],[Cantidad]]*data[[#This Row],[Precio de Venta Cliente ($/Unid)]]</f>
        <v>1678.05</v>
      </c>
      <c r="S26" s="136"/>
      <c r="T26" s="87" t="s">
        <v>15</v>
      </c>
      <c r="U26" s="87"/>
      <c r="V26" s="137" t="s">
        <v>42</v>
      </c>
      <c r="W26" s="139" t="s">
        <v>42</v>
      </c>
      <c r="X26" s="87" t="s">
        <v>23</v>
      </c>
      <c r="Y26" s="87" t="s">
        <v>23</v>
      </c>
      <c r="Z26" s="87" t="s">
        <v>41</v>
      </c>
      <c r="AA26" s="87"/>
    </row>
    <row r="27" spans="2:27" x14ac:dyDescent="0.25">
      <c r="B27" s="130"/>
      <c r="C27" s="130" t="str">
        <f>TEXT(data[[#This Row],[Fecha de Envío
Cotización]],"MMMM")</f>
        <v>marzo</v>
      </c>
      <c r="D27" s="130">
        <v>44277</v>
      </c>
      <c r="E27" s="174" t="str">
        <f>IF(data[[#This Row],[Estatus de 
Cotización]]="PERDIDO","N/A","")</f>
        <v>N/A</v>
      </c>
      <c r="F27" s="130"/>
      <c r="G27" s="86"/>
      <c r="H27" s="130"/>
      <c r="I27" s="86">
        <v>511625</v>
      </c>
      <c r="J27" s="87">
        <v>1605</v>
      </c>
      <c r="K27" s="131" t="s">
        <v>94</v>
      </c>
      <c r="L27" s="87"/>
      <c r="M27" s="132" t="s">
        <v>459</v>
      </c>
      <c r="N27" s="87">
        <v>1</v>
      </c>
      <c r="O27" s="133"/>
      <c r="P27" s="134">
        <v>328.05</v>
      </c>
      <c r="Q27" s="135">
        <f>data[[#This Row],[Costo Producto
Proveedor ($/Unid)]]*data[[#This Row],[Cantidad]]</f>
        <v>0</v>
      </c>
      <c r="R27" s="135">
        <f>data[[#This Row],[Cantidad]]*data[[#This Row],[Precio de Venta Cliente ($/Unid)]]</f>
        <v>328.05</v>
      </c>
      <c r="S27" s="136"/>
      <c r="T27" s="87" t="s">
        <v>15</v>
      </c>
      <c r="U27" s="87"/>
      <c r="V27" s="137" t="s">
        <v>42</v>
      </c>
      <c r="W27" s="139" t="s">
        <v>42</v>
      </c>
      <c r="X27" s="87" t="s">
        <v>23</v>
      </c>
      <c r="Y27" s="87" t="s">
        <v>23</v>
      </c>
      <c r="Z27" s="87" t="s">
        <v>41</v>
      </c>
      <c r="AA27" s="87"/>
    </row>
    <row r="28" spans="2:27" x14ac:dyDescent="0.25">
      <c r="B28" s="130"/>
      <c r="C28" s="130" t="str">
        <f>TEXT(data[[#This Row],[Fecha de Envío
Cotización]],"MMMM")</f>
        <v>marzo</v>
      </c>
      <c r="D28" s="130">
        <v>44277</v>
      </c>
      <c r="E28" s="174" t="str">
        <f>IF(data[[#This Row],[Estatus de 
Cotización]]="PERDIDO","N/A","")</f>
        <v>N/A</v>
      </c>
      <c r="F28" s="130"/>
      <c r="G28" s="86"/>
      <c r="H28" s="130"/>
      <c r="I28" s="86">
        <v>511626</v>
      </c>
      <c r="J28" s="87">
        <v>1605</v>
      </c>
      <c r="K28" s="131" t="s">
        <v>94</v>
      </c>
      <c r="L28" s="87"/>
      <c r="M28" s="132" t="s">
        <v>460</v>
      </c>
      <c r="N28" s="87">
        <v>1</v>
      </c>
      <c r="O28" s="133"/>
      <c r="P28" s="134">
        <v>257.85000000000002</v>
      </c>
      <c r="Q28" s="135">
        <f>data[[#This Row],[Costo Producto
Proveedor ($/Unid)]]*data[[#This Row],[Cantidad]]</f>
        <v>0</v>
      </c>
      <c r="R28" s="135">
        <f>data[[#This Row],[Cantidad]]*data[[#This Row],[Precio de Venta Cliente ($/Unid)]]</f>
        <v>257.85000000000002</v>
      </c>
      <c r="S28" s="136"/>
      <c r="T28" s="87" t="s">
        <v>15</v>
      </c>
      <c r="U28" s="87"/>
      <c r="V28" s="137" t="s">
        <v>42</v>
      </c>
      <c r="W28" s="139" t="s">
        <v>42</v>
      </c>
      <c r="X28" s="87" t="s">
        <v>23</v>
      </c>
      <c r="Y28" s="87" t="s">
        <v>23</v>
      </c>
      <c r="Z28" s="87" t="s">
        <v>41</v>
      </c>
      <c r="AA28" s="87"/>
    </row>
    <row r="29" spans="2:27" x14ac:dyDescent="0.25">
      <c r="B29" s="130"/>
      <c r="C29" s="130" t="str">
        <f>TEXT(data[[#This Row],[Fecha de Envío
Cotización]],"MMMM")</f>
        <v>marzo</v>
      </c>
      <c r="D29" s="130">
        <v>44277</v>
      </c>
      <c r="E29" s="174" t="str">
        <f>IF(data[[#This Row],[Estatus de 
Cotización]]="PERDIDO","N/A","")</f>
        <v>N/A</v>
      </c>
      <c r="F29" s="130"/>
      <c r="G29" s="86"/>
      <c r="H29" s="130"/>
      <c r="I29" s="86">
        <v>511627</v>
      </c>
      <c r="J29" s="87">
        <v>1605</v>
      </c>
      <c r="K29" s="131" t="s">
        <v>94</v>
      </c>
      <c r="L29" s="87"/>
      <c r="M29" s="132" t="s">
        <v>461</v>
      </c>
      <c r="N29" s="87">
        <v>10</v>
      </c>
      <c r="O29" s="133"/>
      <c r="P29" s="134">
        <v>66.819999999999993</v>
      </c>
      <c r="Q29" s="135">
        <f>data[[#This Row],[Costo Producto
Proveedor ($/Unid)]]*data[[#This Row],[Cantidad]]</f>
        <v>0</v>
      </c>
      <c r="R29" s="135">
        <f>data[[#This Row],[Cantidad]]*data[[#This Row],[Precio de Venta Cliente ($/Unid)]]</f>
        <v>668.19999999999993</v>
      </c>
      <c r="S29" s="136"/>
      <c r="T29" s="87" t="s">
        <v>15</v>
      </c>
      <c r="U29" s="87"/>
      <c r="V29" s="137" t="s">
        <v>42</v>
      </c>
      <c r="W29" s="139" t="s">
        <v>42</v>
      </c>
      <c r="X29" s="87" t="s">
        <v>23</v>
      </c>
      <c r="Y29" s="87" t="s">
        <v>23</v>
      </c>
      <c r="Z29" s="87" t="s">
        <v>41</v>
      </c>
      <c r="AA29" s="87"/>
    </row>
    <row r="30" spans="2:27" x14ac:dyDescent="0.25">
      <c r="B30" s="130"/>
      <c r="C30" s="130" t="str">
        <f>TEXT(data[[#This Row],[Fecha de Envío
Cotización]],"MMMM")</f>
        <v>marzo</v>
      </c>
      <c r="D30" s="130">
        <v>44277</v>
      </c>
      <c r="E30" s="174" t="str">
        <f>IF(data[[#This Row],[Estatus de 
Cotización]]="PERDIDO","N/A","")</f>
        <v>N/A</v>
      </c>
      <c r="F30" s="130"/>
      <c r="G30" s="86"/>
      <c r="H30" s="130"/>
      <c r="I30" s="86">
        <v>511628</v>
      </c>
      <c r="J30" s="87">
        <v>1605</v>
      </c>
      <c r="K30" s="131" t="s">
        <v>94</v>
      </c>
      <c r="L30" s="87"/>
      <c r="M30" s="132" t="s">
        <v>462</v>
      </c>
      <c r="N30" s="87">
        <v>4</v>
      </c>
      <c r="O30" s="133"/>
      <c r="P30" s="134">
        <v>49.27</v>
      </c>
      <c r="Q30" s="135">
        <f>data[[#This Row],[Costo Producto
Proveedor ($/Unid)]]*data[[#This Row],[Cantidad]]</f>
        <v>0</v>
      </c>
      <c r="R30" s="135">
        <f>data[[#This Row],[Cantidad]]*data[[#This Row],[Precio de Venta Cliente ($/Unid)]]</f>
        <v>197.08</v>
      </c>
      <c r="S30" s="136"/>
      <c r="T30" s="87" t="s">
        <v>15</v>
      </c>
      <c r="U30" s="87"/>
      <c r="V30" s="137" t="s">
        <v>42</v>
      </c>
      <c r="W30" s="139" t="s">
        <v>42</v>
      </c>
      <c r="X30" s="87" t="s">
        <v>23</v>
      </c>
      <c r="Y30" s="87" t="s">
        <v>23</v>
      </c>
      <c r="Z30" s="87" t="s">
        <v>41</v>
      </c>
      <c r="AA30" s="87"/>
    </row>
    <row r="31" spans="2:27" x14ac:dyDescent="0.25">
      <c r="B31" s="130"/>
      <c r="C31" s="130" t="str">
        <f>TEXT(data[[#This Row],[Fecha de Envío
Cotización]],"MMMM")</f>
        <v>marzo</v>
      </c>
      <c r="D31" s="130">
        <v>44277</v>
      </c>
      <c r="E31" s="174" t="str">
        <f>IF(data[[#This Row],[Estatus de 
Cotización]]="PERDIDO","N/A","")</f>
        <v>N/A</v>
      </c>
      <c r="F31" s="130"/>
      <c r="G31" s="86"/>
      <c r="H31" s="130"/>
      <c r="I31" s="86">
        <v>511629</v>
      </c>
      <c r="J31" s="87">
        <v>1605</v>
      </c>
      <c r="K31" s="131" t="s">
        <v>94</v>
      </c>
      <c r="L31" s="87"/>
      <c r="M31" s="132" t="s">
        <v>463</v>
      </c>
      <c r="N31" s="87">
        <v>1</v>
      </c>
      <c r="O31" s="133"/>
      <c r="P31" s="134">
        <v>12.15</v>
      </c>
      <c r="Q31" s="135">
        <f>data[[#This Row],[Costo Producto
Proveedor ($/Unid)]]*data[[#This Row],[Cantidad]]</f>
        <v>0</v>
      </c>
      <c r="R31" s="135">
        <f>data[[#This Row],[Cantidad]]*data[[#This Row],[Precio de Venta Cliente ($/Unid)]]</f>
        <v>12.15</v>
      </c>
      <c r="S31" s="136"/>
      <c r="T31" s="87" t="s">
        <v>15</v>
      </c>
      <c r="U31" s="87"/>
      <c r="V31" s="137" t="s">
        <v>42</v>
      </c>
      <c r="W31" s="139" t="s">
        <v>42</v>
      </c>
      <c r="X31" s="87" t="s">
        <v>23</v>
      </c>
      <c r="Y31" s="87" t="s">
        <v>23</v>
      </c>
      <c r="Z31" s="87" t="s">
        <v>41</v>
      </c>
      <c r="AA31" s="87"/>
    </row>
    <row r="32" spans="2:27" x14ac:dyDescent="0.25">
      <c r="B32" s="130"/>
      <c r="C32" s="130" t="str">
        <f>TEXT(data[[#This Row],[Fecha de Envío
Cotización]],"MMMM")</f>
        <v>marzo</v>
      </c>
      <c r="D32" s="130">
        <v>44277</v>
      </c>
      <c r="E32" s="174" t="str">
        <f>IF(data[[#This Row],[Estatus de 
Cotización]]="PERDIDO","N/A","")</f>
        <v>N/A</v>
      </c>
      <c r="F32" s="130"/>
      <c r="G32" s="86"/>
      <c r="H32" s="130"/>
      <c r="I32" s="86">
        <v>511630</v>
      </c>
      <c r="J32" s="87">
        <v>1605</v>
      </c>
      <c r="K32" s="131" t="s">
        <v>94</v>
      </c>
      <c r="L32" s="87"/>
      <c r="M32" s="132" t="s">
        <v>464</v>
      </c>
      <c r="N32" s="87">
        <v>1</v>
      </c>
      <c r="O32" s="133"/>
      <c r="P32" s="134">
        <v>409.72</v>
      </c>
      <c r="Q32" s="135">
        <f>data[[#This Row],[Costo Producto
Proveedor ($/Unid)]]*data[[#This Row],[Cantidad]]</f>
        <v>0</v>
      </c>
      <c r="R32" s="135">
        <f>data[[#This Row],[Cantidad]]*data[[#This Row],[Precio de Venta Cliente ($/Unid)]]</f>
        <v>409.72</v>
      </c>
      <c r="S32" s="136"/>
      <c r="T32" s="87" t="s">
        <v>15</v>
      </c>
      <c r="U32" s="87"/>
      <c r="V32" s="137" t="s">
        <v>42</v>
      </c>
      <c r="W32" s="139" t="s">
        <v>42</v>
      </c>
      <c r="X32" s="87" t="s">
        <v>23</v>
      </c>
      <c r="Y32" s="87" t="s">
        <v>23</v>
      </c>
      <c r="Z32" s="87" t="s">
        <v>41</v>
      </c>
      <c r="AA32" s="87"/>
    </row>
    <row r="33" spans="2:27" x14ac:dyDescent="0.25">
      <c r="B33" s="130"/>
      <c r="C33" s="130" t="str">
        <f>TEXT(data[[#This Row],[Fecha de Envío
Cotización]],"MMMM")</f>
        <v>marzo</v>
      </c>
      <c r="D33" s="130">
        <v>44277</v>
      </c>
      <c r="E33" s="174" t="str">
        <f>IF(data[[#This Row],[Estatus de 
Cotización]]="PERDIDO","N/A","")</f>
        <v>N/A</v>
      </c>
      <c r="F33" s="130"/>
      <c r="G33" s="86"/>
      <c r="H33" s="130"/>
      <c r="I33" s="86">
        <v>511631</v>
      </c>
      <c r="J33" s="87">
        <v>1605</v>
      </c>
      <c r="K33" s="131" t="s">
        <v>94</v>
      </c>
      <c r="L33" s="87"/>
      <c r="M33" s="132" t="s">
        <v>465</v>
      </c>
      <c r="N33" s="87">
        <v>1</v>
      </c>
      <c r="O33" s="133"/>
      <c r="P33" s="134">
        <v>758.03</v>
      </c>
      <c r="Q33" s="135">
        <f>data[[#This Row],[Costo Producto
Proveedor ($/Unid)]]*data[[#This Row],[Cantidad]]</f>
        <v>0</v>
      </c>
      <c r="R33" s="135">
        <f>data[[#This Row],[Cantidad]]*data[[#This Row],[Precio de Venta Cliente ($/Unid)]]</f>
        <v>758.03</v>
      </c>
      <c r="S33" s="136"/>
      <c r="T33" s="87" t="s">
        <v>15</v>
      </c>
      <c r="U33" s="87"/>
      <c r="V33" s="137" t="s">
        <v>42</v>
      </c>
      <c r="W33" s="139" t="s">
        <v>42</v>
      </c>
      <c r="X33" s="87" t="s">
        <v>23</v>
      </c>
      <c r="Y33" s="87" t="s">
        <v>23</v>
      </c>
      <c r="Z33" s="87" t="s">
        <v>41</v>
      </c>
      <c r="AA33" s="87"/>
    </row>
    <row r="34" spans="2:27" x14ac:dyDescent="0.25">
      <c r="B34" s="130"/>
      <c r="C34" s="130" t="str">
        <f>TEXT(data[[#This Row],[Fecha de Envío
Cotización]],"MMMM")</f>
        <v>marzo</v>
      </c>
      <c r="D34" s="130">
        <v>44278</v>
      </c>
      <c r="E34" s="174" t="str">
        <f>IF(data[[#This Row],[Estatus de 
Cotización]]="PERDIDO","N/A","")</f>
        <v>N/A</v>
      </c>
      <c r="F34" s="130"/>
      <c r="G34" s="86"/>
      <c r="H34" s="130"/>
      <c r="I34" s="86">
        <v>511646</v>
      </c>
      <c r="J34" s="87">
        <v>26829</v>
      </c>
      <c r="K34" s="131" t="s">
        <v>76</v>
      </c>
      <c r="L34" s="87"/>
      <c r="M34" s="132" t="s">
        <v>625</v>
      </c>
      <c r="N34" s="87">
        <v>800</v>
      </c>
      <c r="O34" s="133"/>
      <c r="P34" s="134">
        <v>9.6</v>
      </c>
      <c r="Q34" s="135">
        <f>data[[#This Row],[Costo Producto
Proveedor ($/Unid)]]*data[[#This Row],[Cantidad]]</f>
        <v>0</v>
      </c>
      <c r="R34" s="135">
        <f>data[[#This Row],[Cantidad]]*data[[#This Row],[Precio de Venta Cliente ($/Unid)]]</f>
        <v>7680</v>
      </c>
      <c r="S34" s="136"/>
      <c r="T34" s="87" t="s">
        <v>22</v>
      </c>
      <c r="U34" s="87"/>
      <c r="V34" s="137" t="s">
        <v>42</v>
      </c>
      <c r="W34" s="130" t="s">
        <v>42</v>
      </c>
      <c r="X34" s="87" t="s">
        <v>23</v>
      </c>
      <c r="Y34" s="87" t="s">
        <v>23</v>
      </c>
      <c r="Z34" s="87" t="s">
        <v>41</v>
      </c>
      <c r="AA34" s="87"/>
    </row>
    <row r="35" spans="2:27" x14ac:dyDescent="0.25">
      <c r="B35" s="130"/>
      <c r="C35" s="130" t="str">
        <f>TEXT(data[[#This Row],[Fecha de Envío
Cotización]],"MMMM")</f>
        <v>marzo</v>
      </c>
      <c r="D35" s="130">
        <v>44280</v>
      </c>
      <c r="E35" s="130" t="str">
        <f>IF(data[[#This Row],[Estatus de 
Cotización]]="PERDIDO","N/A","")</f>
        <v>N/A</v>
      </c>
      <c r="F35" s="130"/>
      <c r="G35" s="86"/>
      <c r="H35" s="130"/>
      <c r="I35" s="86">
        <v>511697</v>
      </c>
      <c r="J35" s="87">
        <v>262916</v>
      </c>
      <c r="K35" s="131" t="s">
        <v>76</v>
      </c>
      <c r="L35" s="87"/>
      <c r="M35" s="132" t="s">
        <v>640</v>
      </c>
      <c r="N35" s="87">
        <v>2</v>
      </c>
      <c r="O35" s="133"/>
      <c r="P35" s="134">
        <v>1753.75</v>
      </c>
      <c r="Q35" s="135">
        <f>data[[#This Row],[Costo Producto
Proveedor ($/Unid)]]*data[[#This Row],[Cantidad]]</f>
        <v>0</v>
      </c>
      <c r="R35" s="135">
        <f>data[[#This Row],[Cantidad]]*data[[#This Row],[Precio de Venta Cliente ($/Unid)]]</f>
        <v>3507.5</v>
      </c>
      <c r="S35" s="136"/>
      <c r="T35" s="87" t="s">
        <v>73</v>
      </c>
      <c r="U35" s="87"/>
      <c r="V35" s="137" t="s">
        <v>42</v>
      </c>
      <c r="W35" s="130" t="s">
        <v>42</v>
      </c>
      <c r="X35" s="87" t="s">
        <v>23</v>
      </c>
      <c r="Y35" s="87" t="s">
        <v>23</v>
      </c>
      <c r="Z35" s="87" t="s">
        <v>41</v>
      </c>
      <c r="AA35" s="87"/>
    </row>
    <row r="36" spans="2:27" x14ac:dyDescent="0.25">
      <c r="B36" s="130"/>
      <c r="C36" s="130" t="str">
        <f>TEXT(data[[#This Row],[Fecha de Envío
Cotización]],"MMMM")</f>
        <v>marzo</v>
      </c>
      <c r="D36" s="130">
        <v>44280</v>
      </c>
      <c r="E36" s="174" t="str">
        <f>IF(data[[#This Row],[Estatus de 
Cotización]]="PERDIDO","N/A","")</f>
        <v>N/A</v>
      </c>
      <c r="F36" s="130"/>
      <c r="G36" s="86"/>
      <c r="H36" s="130"/>
      <c r="I36" s="86">
        <v>511696</v>
      </c>
      <c r="J36" s="87">
        <v>1705</v>
      </c>
      <c r="K36" s="131" t="s">
        <v>95</v>
      </c>
      <c r="L36" s="87"/>
      <c r="M36" s="132" t="s">
        <v>466</v>
      </c>
      <c r="N36" s="87">
        <v>2</v>
      </c>
      <c r="O36" s="133"/>
      <c r="P36" s="134">
        <v>349</v>
      </c>
      <c r="Q36" s="135">
        <f>data[[#This Row],[Costo Producto
Proveedor ($/Unid)]]*data[[#This Row],[Cantidad]]</f>
        <v>0</v>
      </c>
      <c r="R36" s="135">
        <f>data[[#This Row],[Cantidad]]*data[[#This Row],[Precio de Venta Cliente ($/Unid)]]</f>
        <v>698</v>
      </c>
      <c r="S36" s="136"/>
      <c r="T36" s="87" t="s">
        <v>73</v>
      </c>
      <c r="U36" s="87"/>
      <c r="V36" s="137" t="s">
        <v>42</v>
      </c>
      <c r="W36" s="139" t="s">
        <v>42</v>
      </c>
      <c r="X36" s="87" t="s">
        <v>23</v>
      </c>
      <c r="Y36" s="87" t="s">
        <v>23</v>
      </c>
      <c r="Z36" s="87" t="s">
        <v>41</v>
      </c>
      <c r="AA36" s="87"/>
    </row>
    <row r="37" spans="2:27" x14ac:dyDescent="0.25">
      <c r="B37" s="130"/>
      <c r="C37" s="130" t="str">
        <f>TEXT(data[[#This Row],[Fecha de Envío
Cotización]],"MMMM")</f>
        <v>marzo</v>
      </c>
      <c r="D37" s="130">
        <v>44284</v>
      </c>
      <c r="E37" s="174" t="str">
        <f>IF(data[[#This Row],[Estatus de 
Cotización]]="PERDIDO","N/A","")</f>
        <v>N/A</v>
      </c>
      <c r="F37" s="130"/>
      <c r="G37" s="86"/>
      <c r="H37" s="130"/>
      <c r="I37" s="86">
        <v>511744</v>
      </c>
      <c r="J37" s="87">
        <v>1706</v>
      </c>
      <c r="K37" s="131" t="s">
        <v>103</v>
      </c>
      <c r="L37" s="87"/>
      <c r="M37" s="132" t="s">
        <v>467</v>
      </c>
      <c r="N37" s="87">
        <v>1</v>
      </c>
      <c r="O37" s="133"/>
      <c r="P37" s="134">
        <v>495</v>
      </c>
      <c r="Q37" s="135">
        <f>data[[#This Row],[Costo Producto
Proveedor ($/Unid)]]*data[[#This Row],[Cantidad]]</f>
        <v>0</v>
      </c>
      <c r="R37" s="135">
        <f>data[[#This Row],[Cantidad]]*data[[#This Row],[Precio de Venta Cliente ($/Unid)]]</f>
        <v>495</v>
      </c>
      <c r="S37" s="136"/>
      <c r="T37" s="87" t="s">
        <v>16</v>
      </c>
      <c r="U37" s="87"/>
      <c r="V37" s="137" t="s">
        <v>42</v>
      </c>
      <c r="W37" s="139" t="s">
        <v>42</v>
      </c>
      <c r="X37" s="87" t="s">
        <v>23</v>
      </c>
      <c r="Y37" s="87" t="s">
        <v>23</v>
      </c>
      <c r="Z37" s="87" t="s">
        <v>41</v>
      </c>
      <c r="AA37" s="87"/>
    </row>
    <row r="38" spans="2:27" x14ac:dyDescent="0.25">
      <c r="B38" s="130"/>
      <c r="C38" s="130" t="str">
        <f>TEXT(data[[#This Row],[Fecha de Envío
Cotización]],"MMMM")</f>
        <v>marzo</v>
      </c>
      <c r="D38" s="130">
        <v>44284</v>
      </c>
      <c r="E38" s="174" t="str">
        <f>IF(data[[#This Row],[Estatus de 
Cotización]]="PERDIDO","N/A","")</f>
        <v>N/A</v>
      </c>
      <c r="F38" s="130"/>
      <c r="G38" s="86"/>
      <c r="H38" s="130"/>
      <c r="I38" s="86">
        <v>511745</v>
      </c>
      <c r="J38" s="87">
        <v>1706</v>
      </c>
      <c r="K38" s="131" t="s">
        <v>103</v>
      </c>
      <c r="L38" s="87"/>
      <c r="M38" s="132" t="s">
        <v>468</v>
      </c>
      <c r="N38" s="87">
        <v>1</v>
      </c>
      <c r="O38" s="133"/>
      <c r="P38" s="134">
        <v>590</v>
      </c>
      <c r="Q38" s="135">
        <f>data[[#This Row],[Costo Producto
Proveedor ($/Unid)]]*data[[#This Row],[Cantidad]]</f>
        <v>0</v>
      </c>
      <c r="R38" s="135">
        <f>data[[#This Row],[Cantidad]]*data[[#This Row],[Precio de Venta Cliente ($/Unid)]]</f>
        <v>590</v>
      </c>
      <c r="S38" s="136"/>
      <c r="T38" s="87" t="s">
        <v>16</v>
      </c>
      <c r="U38" s="87"/>
      <c r="V38" s="137" t="s">
        <v>42</v>
      </c>
      <c r="W38" s="139" t="s">
        <v>42</v>
      </c>
      <c r="X38" s="87" t="s">
        <v>23</v>
      </c>
      <c r="Y38" s="87" t="s">
        <v>23</v>
      </c>
      <c r="Z38" s="87" t="s">
        <v>41</v>
      </c>
      <c r="AA38" s="87"/>
    </row>
    <row r="39" spans="2:27" x14ac:dyDescent="0.25">
      <c r="B39" s="130"/>
      <c r="C39" s="130" t="str">
        <f>TEXT(data[[#This Row],[Fecha de Envío
Cotización]],"MMMM")</f>
        <v>marzo</v>
      </c>
      <c r="D39" s="130">
        <v>44285</v>
      </c>
      <c r="E39" s="130">
        <v>44285</v>
      </c>
      <c r="F39" s="130">
        <v>44328</v>
      </c>
      <c r="G39" s="86">
        <v>1707</v>
      </c>
      <c r="H39" s="130">
        <v>44285</v>
      </c>
      <c r="I39" s="86">
        <v>511762</v>
      </c>
      <c r="J39" s="87">
        <v>1707</v>
      </c>
      <c r="K39" s="131" t="s">
        <v>103</v>
      </c>
      <c r="L39" s="87"/>
      <c r="M39" s="140" t="s">
        <v>469</v>
      </c>
      <c r="N39" s="87">
        <v>6</v>
      </c>
      <c r="O39" s="133"/>
      <c r="P39" s="134">
        <v>70</v>
      </c>
      <c r="Q39" s="135">
        <f>data[[#This Row],[Costo Producto
Proveedor ($/Unid)]]*data[[#This Row],[Cantidad]]</f>
        <v>0</v>
      </c>
      <c r="R39" s="135">
        <f>data[[#This Row],[Cantidad]]*data[[#This Row],[Precio de Venta Cliente ($/Unid)]]</f>
        <v>420</v>
      </c>
      <c r="S39" s="136"/>
      <c r="T39" s="87" t="s">
        <v>36</v>
      </c>
      <c r="U39" s="87"/>
      <c r="V39" s="137" t="s">
        <v>44</v>
      </c>
      <c r="W39" s="139" t="s">
        <v>46</v>
      </c>
      <c r="X39" s="87" t="s">
        <v>45</v>
      </c>
      <c r="Y39" s="87" t="s">
        <v>47</v>
      </c>
      <c r="Z39" s="87" t="s">
        <v>41</v>
      </c>
      <c r="AA39" s="87"/>
    </row>
    <row r="40" spans="2:27" x14ac:dyDescent="0.25">
      <c r="B40" s="130"/>
      <c r="C40" s="130" t="str">
        <f>TEXT(data[[#This Row],[Fecha de Envío
Cotización]],"MMMM")</f>
        <v>abril</v>
      </c>
      <c r="D40" s="130">
        <v>44293</v>
      </c>
      <c r="E40" s="174" t="str">
        <f>IF(data[[#This Row],[Estatus de 
Cotización]]="PERDIDO","N/A","")</f>
        <v>N/A</v>
      </c>
      <c r="F40" s="130"/>
      <c r="G40" s="86"/>
      <c r="H40" s="130"/>
      <c r="I40" s="86">
        <v>511788</v>
      </c>
      <c r="J40" s="87">
        <v>1805</v>
      </c>
      <c r="K40" s="131" t="s">
        <v>103</v>
      </c>
      <c r="L40" s="87"/>
      <c r="M40" s="140" t="s">
        <v>470</v>
      </c>
      <c r="N40" s="87">
        <v>1</v>
      </c>
      <c r="O40" s="133"/>
      <c r="P40" s="134">
        <v>1747.5</v>
      </c>
      <c r="Q40" s="135">
        <f>data[[#This Row],[Costo Producto
Proveedor ($/Unid)]]*data[[#This Row],[Cantidad]]</f>
        <v>0</v>
      </c>
      <c r="R40" s="135">
        <f>data[[#This Row],[Cantidad]]*data[[#This Row],[Precio de Venta Cliente ($/Unid)]]</f>
        <v>1747.5</v>
      </c>
      <c r="S40" s="136"/>
      <c r="T40" s="87" t="s">
        <v>114</v>
      </c>
      <c r="U40" s="87"/>
      <c r="V40" s="137" t="s">
        <v>42</v>
      </c>
      <c r="W40" s="139" t="s">
        <v>42</v>
      </c>
      <c r="X40" s="87" t="s">
        <v>23</v>
      </c>
      <c r="Y40" s="87" t="s">
        <v>23</v>
      </c>
      <c r="Z40" s="87" t="s">
        <v>41</v>
      </c>
      <c r="AA40" s="87"/>
    </row>
    <row r="41" spans="2:27" x14ac:dyDescent="0.25">
      <c r="B41" s="130"/>
      <c r="C41" s="130" t="str">
        <f>TEXT(data[[#This Row],[Fecha de Envío
Cotización]],"MMMM")</f>
        <v>abril</v>
      </c>
      <c r="D41" s="130">
        <v>44293</v>
      </c>
      <c r="E41" s="174" t="str">
        <f>IF(data[[#This Row],[Estatus de 
Cotización]]="PERDIDO","N/A","")</f>
        <v>N/A</v>
      </c>
      <c r="F41" s="130"/>
      <c r="G41" s="86"/>
      <c r="H41" s="130"/>
      <c r="I41" s="86">
        <v>511789</v>
      </c>
      <c r="J41" s="87">
        <v>1805</v>
      </c>
      <c r="K41" s="131" t="s">
        <v>103</v>
      </c>
      <c r="L41" s="87"/>
      <c r="M41" s="132" t="s">
        <v>471</v>
      </c>
      <c r="N41" s="87">
        <v>1</v>
      </c>
      <c r="O41" s="133"/>
      <c r="P41" s="134">
        <v>1302.5</v>
      </c>
      <c r="Q41" s="135">
        <f>data[[#This Row],[Costo Producto
Proveedor ($/Unid)]]*data[[#This Row],[Cantidad]]</f>
        <v>0</v>
      </c>
      <c r="R41" s="135">
        <f>data[[#This Row],[Cantidad]]*data[[#This Row],[Precio de Venta Cliente ($/Unid)]]</f>
        <v>1302.5</v>
      </c>
      <c r="S41" s="136"/>
      <c r="T41" s="87" t="s">
        <v>114</v>
      </c>
      <c r="U41" s="87"/>
      <c r="V41" s="137" t="s">
        <v>42</v>
      </c>
      <c r="W41" s="139" t="s">
        <v>42</v>
      </c>
      <c r="X41" s="87" t="s">
        <v>23</v>
      </c>
      <c r="Y41" s="87" t="s">
        <v>23</v>
      </c>
      <c r="Z41" s="87" t="s">
        <v>41</v>
      </c>
      <c r="AA41" s="87"/>
    </row>
    <row r="42" spans="2:27" x14ac:dyDescent="0.25">
      <c r="B42" s="130"/>
      <c r="C42" s="130" t="str">
        <f>TEXT(data[[#This Row],[Fecha de Envío
Cotización]],"MMMM")</f>
        <v>abril</v>
      </c>
      <c r="D42" s="130">
        <v>44294</v>
      </c>
      <c r="E42" s="174" t="str">
        <f>IF(data[[#This Row],[Estatus de 
Cotización]]="PERDIDO","N/A","")</f>
        <v>N/A</v>
      </c>
      <c r="F42" s="130"/>
      <c r="G42" s="86"/>
      <c r="H42" s="130"/>
      <c r="I42" s="86">
        <v>511806</v>
      </c>
      <c r="J42" s="87">
        <v>1810</v>
      </c>
      <c r="K42" s="131" t="s">
        <v>115</v>
      </c>
      <c r="L42" s="87"/>
      <c r="M42" s="140" t="s">
        <v>472</v>
      </c>
      <c r="N42" s="87">
        <v>2</v>
      </c>
      <c r="O42" s="133"/>
      <c r="P42" s="134">
        <v>1709</v>
      </c>
      <c r="Q42" s="135">
        <f>data[[#This Row],[Costo Producto
Proveedor ($/Unid)]]*data[[#This Row],[Cantidad]]</f>
        <v>0</v>
      </c>
      <c r="R42" s="135">
        <f>data[[#This Row],[Cantidad]]*data[[#This Row],[Precio de Venta Cliente ($/Unid)]]</f>
        <v>3418</v>
      </c>
      <c r="S42" s="136"/>
      <c r="T42" s="87" t="s">
        <v>73</v>
      </c>
      <c r="U42" s="87"/>
      <c r="V42" s="137" t="s">
        <v>42</v>
      </c>
      <c r="W42" s="139" t="s">
        <v>42</v>
      </c>
      <c r="X42" s="87" t="s">
        <v>23</v>
      </c>
      <c r="Y42" s="87" t="s">
        <v>23</v>
      </c>
      <c r="Z42" s="87" t="s">
        <v>41</v>
      </c>
      <c r="AA42" s="87"/>
    </row>
    <row r="43" spans="2:27" x14ac:dyDescent="0.25">
      <c r="B43" s="130"/>
      <c r="C43" s="130" t="str">
        <f>TEXT(data[[#This Row],[Fecha de Envío
Cotización]],"MMMM")</f>
        <v>abril</v>
      </c>
      <c r="D43" s="130">
        <v>44294</v>
      </c>
      <c r="E43" s="174" t="str">
        <f>IF(data[[#This Row],[Estatus de 
Cotización]]="PERDIDO","N/A","")</f>
        <v>N/A</v>
      </c>
      <c r="F43" s="130"/>
      <c r="G43" s="86"/>
      <c r="H43" s="130"/>
      <c r="I43" s="86">
        <v>511807</v>
      </c>
      <c r="J43" s="87">
        <v>1811</v>
      </c>
      <c r="K43" s="131" t="s">
        <v>40</v>
      </c>
      <c r="L43" s="87"/>
      <c r="M43" s="140" t="s">
        <v>474</v>
      </c>
      <c r="N43" s="87">
        <v>1</v>
      </c>
      <c r="O43" s="133"/>
      <c r="P43" s="134">
        <v>238</v>
      </c>
      <c r="Q43" s="135">
        <f>data[[#This Row],[Costo Producto
Proveedor ($/Unid)]]*data[[#This Row],[Cantidad]]</f>
        <v>0</v>
      </c>
      <c r="R43" s="135">
        <f>data[[#This Row],[Cantidad]]*data[[#This Row],[Precio de Venta Cliente ($/Unid)]]</f>
        <v>238</v>
      </c>
      <c r="S43" s="136"/>
      <c r="T43" s="87" t="s">
        <v>73</v>
      </c>
      <c r="U43" s="87"/>
      <c r="V43" s="137" t="s">
        <v>42</v>
      </c>
      <c r="W43" s="139" t="s">
        <v>42</v>
      </c>
      <c r="X43" s="87" t="s">
        <v>23</v>
      </c>
      <c r="Y43" s="87" t="s">
        <v>23</v>
      </c>
      <c r="Z43" s="87" t="s">
        <v>41</v>
      </c>
      <c r="AA43" s="87"/>
    </row>
    <row r="44" spans="2:27" x14ac:dyDescent="0.25">
      <c r="B44" s="130"/>
      <c r="C44" s="130" t="str">
        <f>TEXT(data[[#This Row],[Fecha de Envío
Cotización]],"MMMM")</f>
        <v>abril</v>
      </c>
      <c r="D44" s="130">
        <v>44295</v>
      </c>
      <c r="E44" s="174" t="str">
        <f>IF(data[[#This Row],[Estatus de 
Cotización]]="PERDIDO","N/A","")</f>
        <v>N/A</v>
      </c>
      <c r="F44" s="130"/>
      <c r="G44" s="86"/>
      <c r="H44" s="130"/>
      <c r="I44" s="86">
        <v>511810</v>
      </c>
      <c r="J44" s="87">
        <v>1813</v>
      </c>
      <c r="K44" s="131" t="s">
        <v>475</v>
      </c>
      <c r="L44" s="87"/>
      <c r="M44" s="132" t="s">
        <v>476</v>
      </c>
      <c r="N44" s="87">
        <v>3</v>
      </c>
      <c r="O44" s="133"/>
      <c r="P44" s="134">
        <v>90.8</v>
      </c>
      <c r="Q44" s="135">
        <f>data[[#This Row],[Costo Producto
Proveedor ($/Unid)]]*data[[#This Row],[Cantidad]]</f>
        <v>0</v>
      </c>
      <c r="R44" s="135">
        <f>data[[#This Row],[Cantidad]]*data[[#This Row],[Precio de Venta Cliente ($/Unid)]]</f>
        <v>272.39999999999998</v>
      </c>
      <c r="S44" s="136"/>
      <c r="T44" s="87" t="s">
        <v>119</v>
      </c>
      <c r="U44" s="87"/>
      <c r="V44" s="137" t="s">
        <v>42</v>
      </c>
      <c r="W44" s="139" t="s">
        <v>42</v>
      </c>
      <c r="X44" s="87" t="s">
        <v>23</v>
      </c>
      <c r="Y44" s="87" t="s">
        <v>23</v>
      </c>
      <c r="Z44" s="87" t="s">
        <v>41</v>
      </c>
      <c r="AA44" s="87"/>
    </row>
    <row r="45" spans="2:27" x14ac:dyDescent="0.25">
      <c r="B45" s="130"/>
      <c r="C45" s="130" t="str">
        <f>TEXT(data[[#This Row],[Fecha de Envío
Cotización]],"MMMM")</f>
        <v>abril</v>
      </c>
      <c r="D45" s="130">
        <v>44298</v>
      </c>
      <c r="E45" s="130" t="str">
        <f>IF(data[[#This Row],[Estatus de 
Cotización]]="PERDIDO","N/A","")</f>
        <v>N/A</v>
      </c>
      <c r="F45" s="130"/>
      <c r="G45" s="86"/>
      <c r="H45" s="130"/>
      <c r="I45" s="86">
        <v>511822</v>
      </c>
      <c r="J45" s="87">
        <v>36005</v>
      </c>
      <c r="K45" s="131" t="s">
        <v>76</v>
      </c>
      <c r="L45" s="87"/>
      <c r="M45" s="132" t="s">
        <v>644</v>
      </c>
      <c r="N45" s="87">
        <v>2</v>
      </c>
      <c r="O45" s="133"/>
      <c r="P45" s="134">
        <v>313.72000000000003</v>
      </c>
      <c r="Q45" s="135">
        <f>data[[#This Row],[Costo Producto
Proveedor ($/Unid)]]*data[[#This Row],[Cantidad]]</f>
        <v>0</v>
      </c>
      <c r="R45" s="135">
        <f>data[[#This Row],[Cantidad]]*data[[#This Row],[Precio de Venta Cliente ($/Unid)]]</f>
        <v>627.44000000000005</v>
      </c>
      <c r="S45" s="136"/>
      <c r="T45" s="87" t="s">
        <v>16</v>
      </c>
      <c r="U45" s="87"/>
      <c r="V45" s="137" t="s">
        <v>42</v>
      </c>
      <c r="W45" s="139" t="s">
        <v>42</v>
      </c>
      <c r="X45" s="87" t="s">
        <v>23</v>
      </c>
      <c r="Y45" s="87" t="s">
        <v>23</v>
      </c>
      <c r="Z45" s="87" t="s">
        <v>41</v>
      </c>
      <c r="AA45" s="87"/>
    </row>
    <row r="46" spans="2:27" x14ac:dyDescent="0.25">
      <c r="B46" s="130"/>
      <c r="C46" s="130" t="str">
        <f>TEXT(data[[#This Row],[Fecha de Envío
Cotización]],"MMMM")</f>
        <v>abril</v>
      </c>
      <c r="D46" s="130">
        <v>44300</v>
      </c>
      <c r="E46" s="174" t="str">
        <f>IF(data[[#This Row],[Estatus de 
Cotización]]="PERDIDO","N/A","")</f>
        <v/>
      </c>
      <c r="F46" s="130"/>
      <c r="G46" s="86"/>
      <c r="H46" s="130"/>
      <c r="I46" s="86">
        <v>511837</v>
      </c>
      <c r="J46" s="87">
        <v>1708</v>
      </c>
      <c r="K46" s="131" t="s">
        <v>40</v>
      </c>
      <c r="L46" s="87"/>
      <c r="M46" s="132" t="s">
        <v>477</v>
      </c>
      <c r="N46" s="87">
        <v>1</v>
      </c>
      <c r="O46" s="133"/>
      <c r="P46" s="134">
        <v>159.72999999999999</v>
      </c>
      <c r="Q46" s="135">
        <f>data[[#This Row],[Costo Producto
Proveedor ($/Unid)]]*data[[#This Row],[Cantidad]]</f>
        <v>0</v>
      </c>
      <c r="R46" s="135">
        <f>data[[#This Row],[Cantidad]]*data[[#This Row],[Precio de Venta Cliente ($/Unid)]]</f>
        <v>159.72999999999999</v>
      </c>
      <c r="S46" s="136"/>
      <c r="T46" s="87" t="s">
        <v>73</v>
      </c>
      <c r="U46" s="87"/>
      <c r="V46" s="137" t="s">
        <v>46</v>
      </c>
      <c r="W46" s="139" t="s">
        <v>46</v>
      </c>
      <c r="X46" s="87" t="s">
        <v>23</v>
      </c>
      <c r="Y46" s="87" t="s">
        <v>23</v>
      </c>
      <c r="Z46" s="87" t="s">
        <v>41</v>
      </c>
      <c r="AA46" s="87"/>
    </row>
    <row r="47" spans="2:27" x14ac:dyDescent="0.25">
      <c r="B47" s="130"/>
      <c r="C47" s="130" t="str">
        <f>TEXT(data[[#This Row],[Fecha de Envío
Cotización]],"MMMM")</f>
        <v>abril</v>
      </c>
      <c r="D47" s="130">
        <v>44300</v>
      </c>
      <c r="E47" s="174" t="str">
        <f>IF(data[[#This Row],[Estatus de 
Cotización]]="PERDIDO","N/A","")</f>
        <v>N/A</v>
      </c>
      <c r="F47" s="130"/>
      <c r="G47" s="86"/>
      <c r="H47" s="130"/>
      <c r="I47" s="86">
        <v>511838</v>
      </c>
      <c r="J47" s="87">
        <v>2</v>
      </c>
      <c r="K47" s="131" t="s">
        <v>475</v>
      </c>
      <c r="L47" s="87"/>
      <c r="M47" s="132" t="s">
        <v>478</v>
      </c>
      <c r="N47" s="87">
        <v>1</v>
      </c>
      <c r="O47" s="133"/>
      <c r="P47" s="134">
        <v>153.19</v>
      </c>
      <c r="Q47" s="135">
        <f>data[[#This Row],[Costo Producto
Proveedor ($/Unid)]]*data[[#This Row],[Cantidad]]</f>
        <v>0</v>
      </c>
      <c r="R47" s="135">
        <f>data[[#This Row],[Cantidad]]*data[[#This Row],[Precio de Venta Cliente ($/Unid)]]</f>
        <v>153.19</v>
      </c>
      <c r="S47" s="136"/>
      <c r="T47" s="87" t="s">
        <v>73</v>
      </c>
      <c r="U47" s="87"/>
      <c r="V47" s="137" t="s">
        <v>42</v>
      </c>
      <c r="W47" s="139" t="s">
        <v>42</v>
      </c>
      <c r="X47" s="87" t="s">
        <v>23</v>
      </c>
      <c r="Y47" s="87" t="s">
        <v>23</v>
      </c>
      <c r="Z47" s="87" t="s">
        <v>41</v>
      </c>
      <c r="AA47" s="87"/>
    </row>
    <row r="48" spans="2:27" x14ac:dyDescent="0.25">
      <c r="B48" s="130"/>
      <c r="C48" s="130" t="str">
        <f>TEXT(data[[#This Row],[Fecha de Envío
Cotización]],"MMMM")</f>
        <v>abril</v>
      </c>
      <c r="D48" s="130">
        <v>44300</v>
      </c>
      <c r="E48" s="104" t="str">
        <f>IF(data[[#This Row],[Estatus de 
Cotización]]="PERDIDO","N/A","")</f>
        <v>N/A</v>
      </c>
      <c r="F48" s="130"/>
      <c r="G48" s="86"/>
      <c r="H48" s="130"/>
      <c r="I48" s="86">
        <v>511839</v>
      </c>
      <c r="J48" s="87">
        <v>2</v>
      </c>
      <c r="K48" s="131" t="s">
        <v>475</v>
      </c>
      <c r="L48" s="87"/>
      <c r="M48" s="132" t="s">
        <v>479</v>
      </c>
      <c r="N48" s="87">
        <v>1</v>
      </c>
      <c r="O48" s="133"/>
      <c r="P48" s="134">
        <v>168.75</v>
      </c>
      <c r="Q48" s="135">
        <f>data[[#This Row],[Costo Producto
Proveedor ($/Unid)]]*data[[#This Row],[Cantidad]]</f>
        <v>0</v>
      </c>
      <c r="R48" s="135">
        <f>data[[#This Row],[Cantidad]]*data[[#This Row],[Precio de Venta Cliente ($/Unid)]]</f>
        <v>168.75</v>
      </c>
      <c r="S48" s="136"/>
      <c r="T48" s="87" t="s">
        <v>73</v>
      </c>
      <c r="U48" s="87"/>
      <c r="V48" s="137" t="s">
        <v>42</v>
      </c>
      <c r="W48" s="139" t="s">
        <v>42</v>
      </c>
      <c r="X48" s="87" t="s">
        <v>23</v>
      </c>
      <c r="Y48" s="87" t="s">
        <v>23</v>
      </c>
      <c r="Z48" s="87" t="s">
        <v>41</v>
      </c>
      <c r="AA48" s="87"/>
    </row>
    <row r="49" spans="2:27" x14ac:dyDescent="0.25">
      <c r="B49" s="130"/>
      <c r="C49" s="130" t="str">
        <f>TEXT(data[[#This Row],[Fecha de Envío
Cotización]],"MMMM")</f>
        <v>abril</v>
      </c>
      <c r="D49" s="130">
        <v>44300</v>
      </c>
      <c r="E49" s="104" t="str">
        <f>IF(data[[#This Row],[Estatus de 
Cotización]]="PERDIDO","N/A","")</f>
        <v>N/A</v>
      </c>
      <c r="F49" s="130"/>
      <c r="G49" s="86"/>
      <c r="H49" s="130"/>
      <c r="I49" s="86">
        <v>511840</v>
      </c>
      <c r="J49" s="87">
        <v>2</v>
      </c>
      <c r="K49" s="131" t="s">
        <v>475</v>
      </c>
      <c r="L49" s="87"/>
      <c r="M49" s="132" t="s">
        <v>480</v>
      </c>
      <c r="N49" s="87">
        <v>1</v>
      </c>
      <c r="O49" s="133"/>
      <c r="P49" s="134">
        <v>2.83</v>
      </c>
      <c r="Q49" s="135">
        <f>data[[#This Row],[Costo Producto
Proveedor ($/Unid)]]*data[[#This Row],[Cantidad]]</f>
        <v>0</v>
      </c>
      <c r="R49" s="135">
        <f>data[[#This Row],[Cantidad]]*data[[#This Row],[Precio de Venta Cliente ($/Unid)]]</f>
        <v>2.83</v>
      </c>
      <c r="S49" s="136"/>
      <c r="T49" s="87" t="s">
        <v>73</v>
      </c>
      <c r="U49" s="87"/>
      <c r="V49" s="137" t="s">
        <v>42</v>
      </c>
      <c r="W49" s="139" t="s">
        <v>42</v>
      </c>
      <c r="X49" s="87" t="s">
        <v>23</v>
      </c>
      <c r="Y49" s="87" t="s">
        <v>23</v>
      </c>
      <c r="Z49" s="87" t="s">
        <v>41</v>
      </c>
      <c r="AA49" s="87"/>
    </row>
    <row r="50" spans="2:27" x14ac:dyDescent="0.25">
      <c r="B50" s="130"/>
      <c r="C50" s="130" t="str">
        <f>TEXT(data[[#This Row],[Fecha de Envío
Cotización]],"MMMM")</f>
        <v>abril</v>
      </c>
      <c r="D50" s="130">
        <v>44300</v>
      </c>
      <c r="E50" s="174" t="str">
        <f>IF(data[[#This Row],[Estatus de 
Cotización]]="PERDIDO","N/A","")</f>
        <v>N/A</v>
      </c>
      <c r="F50" s="130"/>
      <c r="G50" s="86"/>
      <c r="H50" s="130"/>
      <c r="I50" s="86">
        <v>511841</v>
      </c>
      <c r="J50" s="87">
        <v>2</v>
      </c>
      <c r="K50" s="131" t="s">
        <v>475</v>
      </c>
      <c r="L50" s="87"/>
      <c r="M50" s="132" t="s">
        <v>481</v>
      </c>
      <c r="N50" s="87">
        <v>3</v>
      </c>
      <c r="O50" s="133"/>
      <c r="P50" s="134">
        <v>6.1</v>
      </c>
      <c r="Q50" s="135">
        <f>data[[#This Row],[Costo Producto
Proveedor ($/Unid)]]*data[[#This Row],[Cantidad]]</f>
        <v>0</v>
      </c>
      <c r="R50" s="135">
        <f>data[[#This Row],[Cantidad]]*data[[#This Row],[Precio de Venta Cliente ($/Unid)]]</f>
        <v>18.299999999999997</v>
      </c>
      <c r="S50" s="136"/>
      <c r="T50" s="87" t="s">
        <v>73</v>
      </c>
      <c r="U50" s="87"/>
      <c r="V50" s="137" t="s">
        <v>42</v>
      </c>
      <c r="W50" s="139" t="s">
        <v>42</v>
      </c>
      <c r="X50" s="87" t="s">
        <v>23</v>
      </c>
      <c r="Y50" s="87" t="s">
        <v>23</v>
      </c>
      <c r="Z50" s="87" t="s">
        <v>41</v>
      </c>
      <c r="AA50" s="87"/>
    </row>
    <row r="51" spans="2:27" x14ac:dyDescent="0.25">
      <c r="B51" s="130"/>
      <c r="C51" s="130" t="str">
        <f>TEXT(data[[#This Row],[Fecha de Envío
Cotización]],"MMMM")</f>
        <v>abril</v>
      </c>
      <c r="D51" s="130">
        <v>44300</v>
      </c>
      <c r="E51" s="174" t="str">
        <f>IF(data[[#This Row],[Estatus de 
Cotización]]="PERDIDO","N/A","")</f>
        <v>N/A</v>
      </c>
      <c r="F51" s="130"/>
      <c r="G51" s="86"/>
      <c r="H51" s="130"/>
      <c r="I51" s="86">
        <v>511842</v>
      </c>
      <c r="J51" s="87">
        <v>2</v>
      </c>
      <c r="K51" s="131" t="s">
        <v>475</v>
      </c>
      <c r="L51" s="87"/>
      <c r="M51" s="132" t="s">
        <v>482</v>
      </c>
      <c r="N51" s="87">
        <v>1</v>
      </c>
      <c r="O51" s="133"/>
      <c r="P51" s="134">
        <v>35.29</v>
      </c>
      <c r="Q51" s="135">
        <f>data[[#This Row],[Costo Producto
Proveedor ($/Unid)]]*data[[#This Row],[Cantidad]]</f>
        <v>0</v>
      </c>
      <c r="R51" s="135">
        <f>data[[#This Row],[Cantidad]]*data[[#This Row],[Precio de Venta Cliente ($/Unid)]]</f>
        <v>35.29</v>
      </c>
      <c r="S51" s="136"/>
      <c r="T51" s="87" t="s">
        <v>73</v>
      </c>
      <c r="U51" s="87"/>
      <c r="V51" s="137" t="s">
        <v>42</v>
      </c>
      <c r="W51" s="139" t="s">
        <v>42</v>
      </c>
      <c r="X51" s="87" t="s">
        <v>23</v>
      </c>
      <c r="Y51" s="87" t="s">
        <v>23</v>
      </c>
      <c r="Z51" s="87" t="s">
        <v>41</v>
      </c>
      <c r="AA51" s="87"/>
    </row>
    <row r="52" spans="2:27" x14ac:dyDescent="0.25">
      <c r="B52" s="130"/>
      <c r="C52" s="130" t="str">
        <f>TEXT(data[[#This Row],[Fecha de Envío
Cotización]],"MMMM")</f>
        <v>abril</v>
      </c>
      <c r="D52" s="130">
        <v>44302</v>
      </c>
      <c r="E52" s="174" t="str">
        <f>IF(data[[#This Row],[Estatus de 
Cotización]]="PERDIDO","N/A","")</f>
        <v/>
      </c>
      <c r="F52" s="130"/>
      <c r="G52" s="86"/>
      <c r="H52" s="130"/>
      <c r="I52" s="86">
        <v>511875</v>
      </c>
      <c r="J52" s="87">
        <v>3</v>
      </c>
      <c r="K52" s="131" t="s">
        <v>40</v>
      </c>
      <c r="L52" s="87"/>
      <c r="M52" s="132" t="s">
        <v>483</v>
      </c>
      <c r="N52" s="87">
        <v>5</v>
      </c>
      <c r="O52" s="133"/>
      <c r="P52" s="134">
        <v>170.81</v>
      </c>
      <c r="Q52" s="135">
        <f>data[[#This Row],[Costo Producto
Proveedor ($/Unid)]]*data[[#This Row],[Cantidad]]</f>
        <v>0</v>
      </c>
      <c r="R52" s="135">
        <f>data[[#This Row],[Cantidad]]*data[[#This Row],[Precio de Venta Cliente ($/Unid)]]</f>
        <v>854.05</v>
      </c>
      <c r="S52" s="136"/>
      <c r="T52" s="87" t="s">
        <v>62</v>
      </c>
      <c r="U52" s="87"/>
      <c r="V52" s="137" t="s">
        <v>46</v>
      </c>
      <c r="W52" s="139" t="s">
        <v>46</v>
      </c>
      <c r="X52" s="87" t="s">
        <v>23</v>
      </c>
      <c r="Y52" s="87" t="s">
        <v>23</v>
      </c>
      <c r="Z52" s="87" t="s">
        <v>41</v>
      </c>
      <c r="AA52" s="87"/>
    </row>
    <row r="53" spans="2:27" x14ac:dyDescent="0.25">
      <c r="B53" s="130"/>
      <c r="C53" s="130" t="str">
        <f>TEXT(data[[#This Row],[Fecha de Envío
Cotización]],"MMMM")</f>
        <v>abril</v>
      </c>
      <c r="D53" s="130">
        <v>44302</v>
      </c>
      <c r="E53" s="174" t="str">
        <f>IF(data[[#This Row],[Estatus de 
Cotización]]="PERDIDO","N/A","")</f>
        <v/>
      </c>
      <c r="F53" s="130"/>
      <c r="G53" s="86"/>
      <c r="H53" s="130"/>
      <c r="I53" s="86">
        <v>511876</v>
      </c>
      <c r="J53" s="87">
        <v>3</v>
      </c>
      <c r="K53" s="131" t="s">
        <v>40</v>
      </c>
      <c r="L53" s="87"/>
      <c r="M53" s="132" t="s">
        <v>484</v>
      </c>
      <c r="N53" s="87">
        <v>50</v>
      </c>
      <c r="O53" s="133"/>
      <c r="P53" s="134">
        <v>5.12</v>
      </c>
      <c r="Q53" s="135">
        <f>data[[#This Row],[Costo Producto
Proveedor ($/Unid)]]*data[[#This Row],[Cantidad]]</f>
        <v>0</v>
      </c>
      <c r="R53" s="135">
        <f>data[[#This Row],[Cantidad]]*data[[#This Row],[Precio de Venta Cliente ($/Unid)]]</f>
        <v>256</v>
      </c>
      <c r="S53" s="136"/>
      <c r="T53" s="87" t="s">
        <v>62</v>
      </c>
      <c r="U53" s="87"/>
      <c r="V53" s="137" t="s">
        <v>46</v>
      </c>
      <c r="W53" s="139" t="s">
        <v>46</v>
      </c>
      <c r="X53" s="87" t="s">
        <v>23</v>
      </c>
      <c r="Y53" s="87" t="s">
        <v>23</v>
      </c>
      <c r="Z53" s="87" t="s">
        <v>41</v>
      </c>
      <c r="AA53" s="87"/>
    </row>
    <row r="54" spans="2:27" x14ac:dyDescent="0.25">
      <c r="B54" s="130"/>
      <c r="C54" s="130" t="str">
        <f>TEXT(data[[#This Row],[Fecha de Envío
Cotización]],"MMMM")</f>
        <v>abril</v>
      </c>
      <c r="D54" s="130">
        <v>44302</v>
      </c>
      <c r="E54" s="174" t="str">
        <f>IF(data[[#This Row],[Estatus de 
Cotización]]="PERDIDO","N/A","")</f>
        <v/>
      </c>
      <c r="F54" s="130"/>
      <c r="G54" s="86"/>
      <c r="H54" s="130"/>
      <c r="I54" s="86">
        <v>511877</v>
      </c>
      <c r="J54" s="87">
        <v>3</v>
      </c>
      <c r="K54" s="131" t="s">
        <v>40</v>
      </c>
      <c r="L54" s="87"/>
      <c r="M54" s="132" t="s">
        <v>485</v>
      </c>
      <c r="N54" s="87">
        <v>50</v>
      </c>
      <c r="O54" s="133"/>
      <c r="P54" s="134">
        <v>8.43</v>
      </c>
      <c r="Q54" s="135">
        <f>data[[#This Row],[Costo Producto
Proveedor ($/Unid)]]*data[[#This Row],[Cantidad]]</f>
        <v>0</v>
      </c>
      <c r="R54" s="135">
        <f>data[[#This Row],[Cantidad]]*data[[#This Row],[Precio de Venta Cliente ($/Unid)]]</f>
        <v>421.5</v>
      </c>
      <c r="S54" s="136"/>
      <c r="T54" s="87" t="s">
        <v>62</v>
      </c>
      <c r="U54" s="87"/>
      <c r="V54" s="137" t="s">
        <v>46</v>
      </c>
      <c r="W54" s="139" t="s">
        <v>46</v>
      </c>
      <c r="X54" s="87" t="s">
        <v>23</v>
      </c>
      <c r="Y54" s="87" t="s">
        <v>23</v>
      </c>
      <c r="Z54" s="87" t="s">
        <v>41</v>
      </c>
      <c r="AA54" s="87"/>
    </row>
    <row r="55" spans="2:27" x14ac:dyDescent="0.25">
      <c r="B55" s="130"/>
      <c r="C55" s="130" t="str">
        <f>TEXT(data[[#This Row],[Fecha de Envío
Cotización]],"MMMM")</f>
        <v>abril</v>
      </c>
      <c r="D55" s="130">
        <v>44302</v>
      </c>
      <c r="E55" s="174" t="str">
        <f>IF(data[[#This Row],[Estatus de 
Cotización]]="PERDIDO","N/A","")</f>
        <v/>
      </c>
      <c r="F55" s="130"/>
      <c r="G55" s="86"/>
      <c r="H55" s="130"/>
      <c r="I55" s="86">
        <v>511878</v>
      </c>
      <c r="J55" s="87">
        <v>3</v>
      </c>
      <c r="K55" s="131" t="s">
        <v>40</v>
      </c>
      <c r="L55" s="87"/>
      <c r="M55" s="132" t="s">
        <v>486</v>
      </c>
      <c r="N55" s="87">
        <v>50</v>
      </c>
      <c r="O55" s="133"/>
      <c r="P55" s="134">
        <v>4.0599999999999996</v>
      </c>
      <c r="Q55" s="135">
        <f>data[[#This Row],[Costo Producto
Proveedor ($/Unid)]]*data[[#This Row],[Cantidad]]</f>
        <v>0</v>
      </c>
      <c r="R55" s="135">
        <f>data[[#This Row],[Cantidad]]*data[[#This Row],[Precio de Venta Cliente ($/Unid)]]</f>
        <v>202.99999999999997</v>
      </c>
      <c r="S55" s="136"/>
      <c r="T55" s="87" t="s">
        <v>62</v>
      </c>
      <c r="U55" s="87"/>
      <c r="V55" s="137" t="s">
        <v>46</v>
      </c>
      <c r="W55" s="139" t="s">
        <v>46</v>
      </c>
      <c r="X55" s="87" t="s">
        <v>23</v>
      </c>
      <c r="Y55" s="87" t="s">
        <v>23</v>
      </c>
      <c r="Z55" s="87" t="s">
        <v>41</v>
      </c>
      <c r="AA55" s="87"/>
    </row>
    <row r="56" spans="2:27" x14ac:dyDescent="0.25">
      <c r="B56" s="130"/>
      <c r="C56" s="130" t="str">
        <f>TEXT(data[[#This Row],[Fecha de Envío
Cotización]],"MMMM")</f>
        <v>abril</v>
      </c>
      <c r="D56" s="130">
        <v>44302</v>
      </c>
      <c r="E56" s="174" t="str">
        <f>IF(data[[#This Row],[Estatus de 
Cotización]]="PERDIDO","N/A","")</f>
        <v/>
      </c>
      <c r="F56" s="130"/>
      <c r="G56" s="86"/>
      <c r="H56" s="130"/>
      <c r="I56" s="86">
        <v>511879</v>
      </c>
      <c r="J56" s="87">
        <v>3</v>
      </c>
      <c r="K56" s="131" t="s">
        <v>40</v>
      </c>
      <c r="L56" s="87"/>
      <c r="M56" s="141" t="s">
        <v>487</v>
      </c>
      <c r="N56" s="87">
        <v>50</v>
      </c>
      <c r="O56" s="133"/>
      <c r="P56" s="134">
        <v>3.01</v>
      </c>
      <c r="Q56" s="135">
        <f>data[[#This Row],[Costo Producto
Proveedor ($/Unid)]]*data[[#This Row],[Cantidad]]</f>
        <v>0</v>
      </c>
      <c r="R56" s="135">
        <f>data[[#This Row],[Cantidad]]*data[[#This Row],[Precio de Venta Cliente ($/Unid)]]</f>
        <v>150.5</v>
      </c>
      <c r="S56" s="136"/>
      <c r="T56" s="87" t="s">
        <v>62</v>
      </c>
      <c r="U56" s="87"/>
      <c r="V56" s="137" t="s">
        <v>46</v>
      </c>
      <c r="W56" s="139" t="s">
        <v>46</v>
      </c>
      <c r="X56" s="87" t="s">
        <v>23</v>
      </c>
      <c r="Y56" s="87" t="s">
        <v>23</v>
      </c>
      <c r="Z56" s="87" t="s">
        <v>41</v>
      </c>
      <c r="AA56" s="87"/>
    </row>
    <row r="57" spans="2:27" x14ac:dyDescent="0.25">
      <c r="B57" s="130"/>
      <c r="C57" s="130" t="str">
        <f>TEXT(data[[#This Row],[Fecha de Envío
Cotización]],"MMMM")</f>
        <v>abril</v>
      </c>
      <c r="D57" s="130">
        <v>44302</v>
      </c>
      <c r="E57" s="174" t="str">
        <f>IF(data[[#This Row],[Estatus de 
Cotización]]="PERDIDO","N/A","")</f>
        <v/>
      </c>
      <c r="F57" s="130"/>
      <c r="G57" s="86"/>
      <c r="H57" s="130"/>
      <c r="I57" s="86">
        <v>511880</v>
      </c>
      <c r="J57" s="87">
        <v>3</v>
      </c>
      <c r="K57" s="131" t="s">
        <v>40</v>
      </c>
      <c r="L57" s="87"/>
      <c r="M57" s="132" t="s">
        <v>488</v>
      </c>
      <c r="N57" s="87">
        <v>5</v>
      </c>
      <c r="O57" s="133"/>
      <c r="P57" s="134">
        <v>180.58</v>
      </c>
      <c r="Q57" s="135">
        <f>data[[#This Row],[Costo Producto
Proveedor ($/Unid)]]*data[[#This Row],[Cantidad]]</f>
        <v>0</v>
      </c>
      <c r="R57" s="135">
        <f>data[[#This Row],[Cantidad]]*data[[#This Row],[Precio de Venta Cliente ($/Unid)]]</f>
        <v>902.90000000000009</v>
      </c>
      <c r="S57" s="136"/>
      <c r="T57" s="87" t="s">
        <v>62</v>
      </c>
      <c r="U57" s="87"/>
      <c r="V57" s="137" t="s">
        <v>46</v>
      </c>
      <c r="W57" s="139" t="s">
        <v>46</v>
      </c>
      <c r="X57" s="87" t="s">
        <v>23</v>
      </c>
      <c r="Y57" s="87" t="s">
        <v>23</v>
      </c>
      <c r="Z57" s="87" t="s">
        <v>41</v>
      </c>
      <c r="AA57" s="87"/>
    </row>
    <row r="58" spans="2:27" x14ac:dyDescent="0.25">
      <c r="B58" s="130"/>
      <c r="C58" s="130" t="str">
        <f>TEXT(data[[#This Row],[Fecha de Envío
Cotización]],"MMMM")</f>
        <v>abril</v>
      </c>
      <c r="D58" s="130">
        <v>44302</v>
      </c>
      <c r="E58" s="130" t="str">
        <f>IF(data[[#This Row],[Estatus de 
Cotización]]="PERDIDO","N/A","")</f>
        <v>N/A</v>
      </c>
      <c r="F58" s="130"/>
      <c r="G58" s="86"/>
      <c r="H58" s="130"/>
      <c r="I58" s="86">
        <v>511881</v>
      </c>
      <c r="J58" s="87">
        <v>6</v>
      </c>
      <c r="K58" s="131" t="s">
        <v>76</v>
      </c>
      <c r="L58" s="87"/>
      <c r="M58" s="132" t="s">
        <v>659</v>
      </c>
      <c r="N58" s="87">
        <v>1</v>
      </c>
      <c r="O58" s="133"/>
      <c r="P58" s="134">
        <v>296.77999999999997</v>
      </c>
      <c r="Q58" s="135">
        <f>data[[#This Row],[Costo Producto
Proveedor ($/Unid)]]*data[[#This Row],[Cantidad]]</f>
        <v>0</v>
      </c>
      <c r="R58" s="135">
        <f>data[[#This Row],[Cantidad]]*data[[#This Row],[Precio de Venta Cliente ($/Unid)]]</f>
        <v>296.77999999999997</v>
      </c>
      <c r="S58" s="136"/>
      <c r="T58" s="87" t="s">
        <v>36</v>
      </c>
      <c r="U58" s="87"/>
      <c r="V58" s="137" t="s">
        <v>42</v>
      </c>
      <c r="W58" s="139" t="s">
        <v>42</v>
      </c>
      <c r="X58" s="87" t="s">
        <v>23</v>
      </c>
      <c r="Y58" s="87" t="s">
        <v>23</v>
      </c>
      <c r="Z58" s="87" t="s">
        <v>41</v>
      </c>
      <c r="AA58" s="87"/>
    </row>
    <row r="59" spans="2:27" x14ac:dyDescent="0.25">
      <c r="B59" s="130"/>
      <c r="C59" s="130" t="str">
        <f>TEXT(data[[#This Row],[Fecha de Envío
Cotización]],"MMMM")</f>
        <v>abril</v>
      </c>
      <c r="D59" s="130">
        <v>44307</v>
      </c>
      <c r="E59" s="130" t="str">
        <f>IF(data[[#This Row],[Estatus de 
Cotización]]="PERDIDO","N/A","")</f>
        <v>N/A</v>
      </c>
      <c r="F59" s="130"/>
      <c r="G59" s="86"/>
      <c r="H59" s="130"/>
      <c r="I59" s="86">
        <v>511901</v>
      </c>
      <c r="J59" s="87">
        <v>3501</v>
      </c>
      <c r="K59" s="131" t="s">
        <v>76</v>
      </c>
      <c r="L59" s="87"/>
      <c r="M59" s="132" t="s">
        <v>489</v>
      </c>
      <c r="N59" s="87">
        <v>6</v>
      </c>
      <c r="O59" s="133"/>
      <c r="P59" s="134">
        <v>72.52</v>
      </c>
      <c r="Q59" s="135">
        <f>data[[#This Row],[Costo Producto
Proveedor ($/Unid)]]*data[[#This Row],[Cantidad]]</f>
        <v>0</v>
      </c>
      <c r="R59" s="135">
        <f>data[[#This Row],[Cantidad]]*data[[#This Row],[Precio de Venta Cliente ($/Unid)]]</f>
        <v>435.12</v>
      </c>
      <c r="S59" s="136"/>
      <c r="T59" s="87" t="s">
        <v>77</v>
      </c>
      <c r="U59" s="87" t="s">
        <v>22</v>
      </c>
      <c r="V59" s="137" t="s">
        <v>42</v>
      </c>
      <c r="W59" s="139" t="s">
        <v>42</v>
      </c>
      <c r="X59" s="87" t="s">
        <v>23</v>
      </c>
      <c r="Y59" s="87" t="s">
        <v>23</v>
      </c>
      <c r="Z59" s="87" t="s">
        <v>41</v>
      </c>
      <c r="AA59" s="87"/>
    </row>
    <row r="60" spans="2:27" x14ac:dyDescent="0.25">
      <c r="B60" s="130"/>
      <c r="C60" s="130" t="str">
        <f>TEXT(data[[#This Row],[Fecha de Envío
Cotización]],"MMMM")</f>
        <v>abril</v>
      </c>
      <c r="D60" s="130">
        <v>44307</v>
      </c>
      <c r="E60" s="130" t="str">
        <f>IF(data[[#This Row],[Estatus de 
Cotización]]="PERDIDO","N/A","")</f>
        <v>N/A</v>
      </c>
      <c r="F60" s="130"/>
      <c r="G60" s="86"/>
      <c r="H60" s="130"/>
      <c r="I60" s="86">
        <v>511902</v>
      </c>
      <c r="J60" s="87">
        <v>3501</v>
      </c>
      <c r="K60" s="131" t="s">
        <v>76</v>
      </c>
      <c r="L60" s="87"/>
      <c r="M60" s="132" t="s">
        <v>490</v>
      </c>
      <c r="N60" s="87">
        <v>10</v>
      </c>
      <c r="O60" s="133"/>
      <c r="P60" s="134">
        <v>30.76</v>
      </c>
      <c r="Q60" s="135">
        <f>data[[#This Row],[Costo Producto
Proveedor ($/Unid)]]*data[[#This Row],[Cantidad]]</f>
        <v>0</v>
      </c>
      <c r="R60" s="135">
        <f>data[[#This Row],[Cantidad]]*data[[#This Row],[Precio de Venta Cliente ($/Unid)]]</f>
        <v>307.60000000000002</v>
      </c>
      <c r="S60" s="136"/>
      <c r="T60" s="87" t="s">
        <v>77</v>
      </c>
      <c r="U60" s="87" t="s">
        <v>22</v>
      </c>
      <c r="V60" s="137" t="s">
        <v>42</v>
      </c>
      <c r="W60" s="139" t="s">
        <v>42</v>
      </c>
      <c r="X60" s="87" t="s">
        <v>23</v>
      </c>
      <c r="Y60" s="87" t="s">
        <v>23</v>
      </c>
      <c r="Z60" s="87" t="s">
        <v>41</v>
      </c>
      <c r="AA60" s="87"/>
    </row>
    <row r="61" spans="2:27" x14ac:dyDescent="0.25">
      <c r="B61" s="130"/>
      <c r="C61" s="130" t="str">
        <f>TEXT(data[[#This Row],[Fecha de Envío
Cotización]],"MMMM")</f>
        <v>abril</v>
      </c>
      <c r="D61" s="130">
        <v>44307</v>
      </c>
      <c r="E61" s="130" t="str">
        <f>IF(data[[#This Row],[Estatus de 
Cotización]]="PERDIDO","N/A","")</f>
        <v>N/A</v>
      </c>
      <c r="F61" s="130"/>
      <c r="G61" s="86"/>
      <c r="H61" s="130"/>
      <c r="I61" s="86">
        <v>511903</v>
      </c>
      <c r="J61" s="87">
        <v>3501</v>
      </c>
      <c r="K61" s="131" t="s">
        <v>76</v>
      </c>
      <c r="L61" s="87"/>
      <c r="M61" s="132" t="s">
        <v>491</v>
      </c>
      <c r="N61" s="87">
        <v>10</v>
      </c>
      <c r="O61" s="133"/>
      <c r="P61" s="134">
        <v>36.93</v>
      </c>
      <c r="Q61" s="135">
        <f>data[[#This Row],[Costo Producto
Proveedor ($/Unid)]]*data[[#This Row],[Cantidad]]</f>
        <v>0</v>
      </c>
      <c r="R61" s="135">
        <f>data[[#This Row],[Cantidad]]*data[[#This Row],[Precio de Venta Cliente ($/Unid)]]</f>
        <v>369.3</v>
      </c>
      <c r="S61" s="136"/>
      <c r="T61" s="87" t="s">
        <v>77</v>
      </c>
      <c r="U61" s="87" t="s">
        <v>22</v>
      </c>
      <c r="V61" s="137" t="s">
        <v>42</v>
      </c>
      <c r="W61" s="139" t="s">
        <v>42</v>
      </c>
      <c r="X61" s="87" t="s">
        <v>23</v>
      </c>
      <c r="Y61" s="87" t="s">
        <v>23</v>
      </c>
      <c r="Z61" s="87" t="s">
        <v>41</v>
      </c>
      <c r="AA61" s="87"/>
    </row>
    <row r="62" spans="2:27" x14ac:dyDescent="0.25">
      <c r="B62" s="130"/>
      <c r="C62" s="130" t="str">
        <f>TEXT(data[[#This Row],[Fecha de Envío
Cotización]],"MMMM")</f>
        <v>abril</v>
      </c>
      <c r="D62" s="130">
        <v>44307</v>
      </c>
      <c r="E62" s="130" t="str">
        <f>IF(data[[#This Row],[Estatus de 
Cotización]]="PERDIDO","N/A","")</f>
        <v>N/A</v>
      </c>
      <c r="F62" s="130"/>
      <c r="G62" s="86"/>
      <c r="H62" s="130"/>
      <c r="I62" s="86">
        <v>511904</v>
      </c>
      <c r="J62" s="87">
        <v>3501</v>
      </c>
      <c r="K62" s="131" t="s">
        <v>76</v>
      </c>
      <c r="L62" s="87"/>
      <c r="M62" s="132" t="s">
        <v>492</v>
      </c>
      <c r="N62" s="87">
        <v>4</v>
      </c>
      <c r="O62" s="133"/>
      <c r="P62" s="134">
        <v>25.73</v>
      </c>
      <c r="Q62" s="135">
        <f>data[[#This Row],[Costo Producto
Proveedor ($/Unid)]]*data[[#This Row],[Cantidad]]</f>
        <v>0</v>
      </c>
      <c r="R62" s="135">
        <f>data[[#This Row],[Cantidad]]*data[[#This Row],[Precio de Venta Cliente ($/Unid)]]</f>
        <v>102.92</v>
      </c>
      <c r="S62" s="136"/>
      <c r="T62" s="87" t="s">
        <v>77</v>
      </c>
      <c r="U62" s="87" t="s">
        <v>22</v>
      </c>
      <c r="V62" s="137" t="s">
        <v>42</v>
      </c>
      <c r="W62" s="139" t="s">
        <v>42</v>
      </c>
      <c r="X62" s="87" t="s">
        <v>23</v>
      </c>
      <c r="Y62" s="87" t="s">
        <v>23</v>
      </c>
      <c r="Z62" s="87" t="s">
        <v>41</v>
      </c>
      <c r="AA62" s="87"/>
    </row>
    <row r="63" spans="2:27" x14ac:dyDescent="0.25">
      <c r="B63" s="130"/>
      <c r="C63" s="130" t="str">
        <f>TEXT(data[[#This Row],[Fecha de Envío
Cotización]],"MMMM")</f>
        <v>abril</v>
      </c>
      <c r="D63" s="130">
        <v>44307</v>
      </c>
      <c r="E63" s="130" t="str">
        <f>IF(data[[#This Row],[Estatus de 
Cotización]]="PERDIDO","N/A","")</f>
        <v>N/A</v>
      </c>
      <c r="F63" s="130"/>
      <c r="G63" s="86"/>
      <c r="H63" s="130"/>
      <c r="I63" s="86">
        <v>511905</v>
      </c>
      <c r="J63" s="87">
        <v>3501</v>
      </c>
      <c r="K63" s="131" t="s">
        <v>76</v>
      </c>
      <c r="L63" s="87"/>
      <c r="M63" s="132" t="s">
        <v>493</v>
      </c>
      <c r="N63" s="87">
        <v>4</v>
      </c>
      <c r="O63" s="133"/>
      <c r="P63" s="134">
        <v>16.73</v>
      </c>
      <c r="Q63" s="135">
        <f>data[[#This Row],[Costo Producto
Proveedor ($/Unid)]]*data[[#This Row],[Cantidad]]</f>
        <v>0</v>
      </c>
      <c r="R63" s="135">
        <f>data[[#This Row],[Cantidad]]*data[[#This Row],[Precio de Venta Cliente ($/Unid)]]</f>
        <v>66.92</v>
      </c>
      <c r="S63" s="136"/>
      <c r="T63" s="87" t="s">
        <v>77</v>
      </c>
      <c r="U63" s="87" t="s">
        <v>22</v>
      </c>
      <c r="V63" s="137" t="s">
        <v>42</v>
      </c>
      <c r="W63" s="139" t="s">
        <v>42</v>
      </c>
      <c r="X63" s="87" t="s">
        <v>23</v>
      </c>
      <c r="Y63" s="87" t="s">
        <v>23</v>
      </c>
      <c r="Z63" s="87" t="s">
        <v>41</v>
      </c>
      <c r="AA63" s="87"/>
    </row>
    <row r="64" spans="2:27" x14ac:dyDescent="0.25">
      <c r="B64" s="130"/>
      <c r="C64" s="130" t="str">
        <f>TEXT(data[[#This Row],[Fecha de Envío
Cotización]],"MMMM")</f>
        <v>abril</v>
      </c>
      <c r="D64" s="130">
        <v>44307</v>
      </c>
      <c r="E64" s="130" t="str">
        <f>IF(data[[#This Row],[Estatus de 
Cotización]]="PERDIDO","N/A","")</f>
        <v>N/A</v>
      </c>
      <c r="F64" s="130"/>
      <c r="G64" s="86"/>
      <c r="H64" s="130"/>
      <c r="I64" s="86">
        <v>511906</v>
      </c>
      <c r="J64" s="87">
        <v>3501</v>
      </c>
      <c r="K64" s="131" t="s">
        <v>76</v>
      </c>
      <c r="L64" s="87"/>
      <c r="M64" s="132" t="s">
        <v>494</v>
      </c>
      <c r="N64" s="87">
        <v>15</v>
      </c>
      <c r="O64" s="133"/>
      <c r="P64" s="134">
        <v>15.79</v>
      </c>
      <c r="Q64" s="135">
        <f>data[[#This Row],[Costo Producto
Proveedor ($/Unid)]]*data[[#This Row],[Cantidad]]</f>
        <v>0</v>
      </c>
      <c r="R64" s="135">
        <f>data[[#This Row],[Cantidad]]*data[[#This Row],[Precio de Venta Cliente ($/Unid)]]</f>
        <v>236.85</v>
      </c>
      <c r="S64" s="136"/>
      <c r="T64" s="87" t="s">
        <v>77</v>
      </c>
      <c r="U64" s="87" t="s">
        <v>22</v>
      </c>
      <c r="V64" s="137" t="s">
        <v>42</v>
      </c>
      <c r="W64" s="139" t="s">
        <v>42</v>
      </c>
      <c r="X64" s="87" t="s">
        <v>23</v>
      </c>
      <c r="Y64" s="87" t="s">
        <v>23</v>
      </c>
      <c r="Z64" s="87" t="s">
        <v>41</v>
      </c>
      <c r="AA64" s="87"/>
    </row>
    <row r="65" spans="2:27" x14ac:dyDescent="0.25">
      <c r="B65" s="130"/>
      <c r="C65" s="130" t="str">
        <f>TEXT(data[[#This Row],[Fecha de Envío
Cotización]],"MMMM")</f>
        <v>abril</v>
      </c>
      <c r="D65" s="130">
        <v>44307</v>
      </c>
      <c r="E65" s="130" t="str">
        <f>IF(data[[#This Row],[Estatus de 
Cotización]]="PERDIDO","N/A","")</f>
        <v>N/A</v>
      </c>
      <c r="F65" s="130"/>
      <c r="G65" s="86"/>
      <c r="H65" s="130"/>
      <c r="I65" s="86">
        <v>511907</v>
      </c>
      <c r="J65" s="87">
        <v>3501</v>
      </c>
      <c r="K65" s="131" t="s">
        <v>76</v>
      </c>
      <c r="L65" s="87"/>
      <c r="M65" s="132" t="s">
        <v>495</v>
      </c>
      <c r="N65" s="87">
        <v>12</v>
      </c>
      <c r="O65" s="133"/>
      <c r="P65" s="134">
        <v>14.39</v>
      </c>
      <c r="Q65" s="135">
        <f>data[[#This Row],[Costo Producto
Proveedor ($/Unid)]]*data[[#This Row],[Cantidad]]</f>
        <v>0</v>
      </c>
      <c r="R65" s="135">
        <f>data[[#This Row],[Cantidad]]*data[[#This Row],[Precio de Venta Cliente ($/Unid)]]</f>
        <v>172.68</v>
      </c>
      <c r="S65" s="136"/>
      <c r="T65" s="87" t="s">
        <v>77</v>
      </c>
      <c r="U65" s="87" t="s">
        <v>22</v>
      </c>
      <c r="V65" s="137" t="s">
        <v>42</v>
      </c>
      <c r="W65" s="139" t="s">
        <v>42</v>
      </c>
      <c r="X65" s="87" t="s">
        <v>23</v>
      </c>
      <c r="Y65" s="87" t="s">
        <v>23</v>
      </c>
      <c r="Z65" s="87" t="s">
        <v>41</v>
      </c>
      <c r="AA65" s="87"/>
    </row>
    <row r="66" spans="2:27" x14ac:dyDescent="0.25">
      <c r="B66" s="130"/>
      <c r="C66" s="130" t="str">
        <f>TEXT(data[[#This Row],[Fecha de Envío
Cotización]],"MMMM")</f>
        <v>abril</v>
      </c>
      <c r="D66" s="130">
        <v>44307</v>
      </c>
      <c r="E66" s="130" t="str">
        <f>IF(data[[#This Row],[Estatus de 
Cotización]]="PERDIDO","N/A","")</f>
        <v>N/A</v>
      </c>
      <c r="F66" s="130"/>
      <c r="G66" s="86"/>
      <c r="H66" s="130"/>
      <c r="I66" s="86">
        <v>511908</v>
      </c>
      <c r="J66" s="87">
        <v>3501</v>
      </c>
      <c r="K66" s="131" t="s">
        <v>76</v>
      </c>
      <c r="L66" s="87"/>
      <c r="M66" s="132" t="s">
        <v>496</v>
      </c>
      <c r="N66" s="87">
        <v>12</v>
      </c>
      <c r="O66" s="133"/>
      <c r="P66" s="134">
        <v>50.21</v>
      </c>
      <c r="Q66" s="135">
        <f>data[[#This Row],[Costo Producto
Proveedor ($/Unid)]]*data[[#This Row],[Cantidad]]</f>
        <v>0</v>
      </c>
      <c r="R66" s="135">
        <f>data[[#This Row],[Cantidad]]*data[[#This Row],[Precio de Venta Cliente ($/Unid)]]</f>
        <v>602.52</v>
      </c>
      <c r="S66" s="136"/>
      <c r="T66" s="87" t="s">
        <v>77</v>
      </c>
      <c r="U66" s="87" t="s">
        <v>22</v>
      </c>
      <c r="V66" s="137" t="s">
        <v>42</v>
      </c>
      <c r="W66" s="139" t="s">
        <v>42</v>
      </c>
      <c r="X66" s="87" t="s">
        <v>23</v>
      </c>
      <c r="Y66" s="87" t="s">
        <v>23</v>
      </c>
      <c r="Z66" s="87" t="s">
        <v>41</v>
      </c>
      <c r="AA66" s="87"/>
    </row>
    <row r="67" spans="2:27" s="10" customFormat="1" x14ac:dyDescent="0.25">
      <c r="B67" s="130"/>
      <c r="C67" s="130" t="str">
        <f>TEXT(data[[#This Row],[Fecha de Envío
Cotización]],"MMMM")</f>
        <v>abril</v>
      </c>
      <c r="D67" s="130">
        <v>44307</v>
      </c>
      <c r="E67" s="130" t="str">
        <f>IF(data[[#This Row],[Estatus de 
Cotización]]="PERDIDO","N/A","")</f>
        <v>N/A</v>
      </c>
      <c r="F67" s="130"/>
      <c r="G67" s="86"/>
      <c r="H67" s="130"/>
      <c r="I67" s="86">
        <v>511909</v>
      </c>
      <c r="J67" s="87">
        <v>3501</v>
      </c>
      <c r="K67" s="131" t="s">
        <v>76</v>
      </c>
      <c r="L67" s="87"/>
      <c r="M67" s="132" t="s">
        <v>497</v>
      </c>
      <c r="N67" s="87">
        <v>6</v>
      </c>
      <c r="O67" s="133"/>
      <c r="P67" s="134">
        <v>10.53</v>
      </c>
      <c r="Q67" s="135">
        <f>data[[#This Row],[Costo Producto
Proveedor ($/Unid)]]*data[[#This Row],[Cantidad]]</f>
        <v>0</v>
      </c>
      <c r="R67" s="135">
        <f>data[[#This Row],[Cantidad]]*data[[#This Row],[Precio de Venta Cliente ($/Unid)]]</f>
        <v>63.179999999999993</v>
      </c>
      <c r="S67" s="136"/>
      <c r="T67" s="87" t="s">
        <v>77</v>
      </c>
      <c r="U67" s="87" t="s">
        <v>22</v>
      </c>
      <c r="V67" s="137" t="s">
        <v>42</v>
      </c>
      <c r="W67" s="139" t="s">
        <v>46</v>
      </c>
      <c r="X67" s="87" t="s">
        <v>23</v>
      </c>
      <c r="Y67" s="87" t="s">
        <v>23</v>
      </c>
      <c r="Z67" s="87" t="s">
        <v>41</v>
      </c>
      <c r="AA67" s="87"/>
    </row>
    <row r="68" spans="2:27" s="10" customFormat="1" x14ac:dyDescent="0.25">
      <c r="B68" s="130"/>
      <c r="C68" s="130" t="str">
        <f>TEXT(data[[#This Row],[Fecha de Envío
Cotización]],"MMMM")</f>
        <v>abril</v>
      </c>
      <c r="D68" s="130">
        <v>44307</v>
      </c>
      <c r="E68" s="130" t="str">
        <f>IF(data[[#This Row],[Estatus de 
Cotización]]="PERDIDO","N/A","")</f>
        <v>N/A</v>
      </c>
      <c r="F68" s="130"/>
      <c r="G68" s="86"/>
      <c r="H68" s="130"/>
      <c r="I68" s="86">
        <v>511910</v>
      </c>
      <c r="J68" s="87">
        <v>3501</v>
      </c>
      <c r="K68" s="131" t="s">
        <v>76</v>
      </c>
      <c r="L68" s="87"/>
      <c r="M68" s="132" t="s">
        <v>498</v>
      </c>
      <c r="N68" s="87">
        <v>4</v>
      </c>
      <c r="O68" s="133"/>
      <c r="P68" s="134">
        <v>10.53</v>
      </c>
      <c r="Q68" s="135">
        <f>data[[#This Row],[Costo Producto
Proveedor ($/Unid)]]*data[[#This Row],[Cantidad]]</f>
        <v>0</v>
      </c>
      <c r="R68" s="135">
        <f>data[[#This Row],[Cantidad]]*data[[#This Row],[Precio de Venta Cliente ($/Unid)]]</f>
        <v>42.12</v>
      </c>
      <c r="S68" s="136"/>
      <c r="T68" s="87" t="s">
        <v>77</v>
      </c>
      <c r="U68" s="87" t="s">
        <v>22</v>
      </c>
      <c r="V68" s="137" t="s">
        <v>42</v>
      </c>
      <c r="W68" s="139" t="s">
        <v>42</v>
      </c>
      <c r="X68" s="87" t="s">
        <v>23</v>
      </c>
      <c r="Y68" s="87" t="s">
        <v>23</v>
      </c>
      <c r="Z68" s="87" t="s">
        <v>41</v>
      </c>
      <c r="AA68" s="87"/>
    </row>
    <row r="69" spans="2:27" s="10" customFormat="1" x14ac:dyDescent="0.25">
      <c r="B69" s="130"/>
      <c r="C69" s="130" t="str">
        <f>TEXT(data[[#This Row],[Fecha de Envío
Cotización]],"MMMM")</f>
        <v>abril</v>
      </c>
      <c r="D69" s="130">
        <v>44307</v>
      </c>
      <c r="E69" s="130">
        <v>44334</v>
      </c>
      <c r="F69" s="130">
        <v>44358</v>
      </c>
      <c r="G69" s="86">
        <v>4501495477</v>
      </c>
      <c r="H69" s="130">
        <v>44334</v>
      </c>
      <c r="I69" s="86">
        <v>511911</v>
      </c>
      <c r="J69" s="87">
        <v>3502</v>
      </c>
      <c r="K69" s="131" t="s">
        <v>76</v>
      </c>
      <c r="L69" s="87"/>
      <c r="M69" s="132" t="s">
        <v>499</v>
      </c>
      <c r="N69" s="87">
        <v>2</v>
      </c>
      <c r="O69" s="133"/>
      <c r="P69" s="134">
        <v>106.84</v>
      </c>
      <c r="Q69" s="135">
        <f>data[[#This Row],[Costo Producto
Proveedor ($/Unid)]]*data[[#This Row],[Cantidad]]</f>
        <v>0</v>
      </c>
      <c r="R69" s="135">
        <f>data[[#This Row],[Cantidad]]*data[[#This Row],[Precio de Venta Cliente ($/Unid)]]</f>
        <v>213.68</v>
      </c>
      <c r="S69" s="136"/>
      <c r="T69" s="87" t="s">
        <v>51</v>
      </c>
      <c r="U69" s="87" t="s">
        <v>73</v>
      </c>
      <c r="V69" s="137" t="s">
        <v>44</v>
      </c>
      <c r="W69" s="139" t="s">
        <v>44</v>
      </c>
      <c r="X69" s="87" t="s">
        <v>503</v>
      </c>
      <c r="Y69" s="87" t="s">
        <v>503</v>
      </c>
      <c r="Z69" s="87" t="s">
        <v>41</v>
      </c>
      <c r="AA69" s="87"/>
    </row>
    <row r="70" spans="2:27" s="36" customFormat="1" x14ac:dyDescent="0.25">
      <c r="B70" s="130"/>
      <c r="C70" s="130" t="str">
        <f>TEXT(data[[#This Row],[Fecha de Envío
Cotización]],"MMMM")</f>
        <v>abril</v>
      </c>
      <c r="D70" s="130">
        <v>44307</v>
      </c>
      <c r="E70" s="130">
        <v>44334</v>
      </c>
      <c r="F70" s="130">
        <v>44358</v>
      </c>
      <c r="G70" s="86">
        <v>4501495477</v>
      </c>
      <c r="H70" s="130">
        <v>44334</v>
      </c>
      <c r="I70" s="86">
        <v>511912</v>
      </c>
      <c r="J70" s="87">
        <v>3502</v>
      </c>
      <c r="K70" s="131" t="s">
        <v>76</v>
      </c>
      <c r="L70" s="87"/>
      <c r="M70" s="132" t="s">
        <v>500</v>
      </c>
      <c r="N70" s="87">
        <v>2</v>
      </c>
      <c r="O70" s="133"/>
      <c r="P70" s="134">
        <v>51.97</v>
      </c>
      <c r="Q70" s="135">
        <f>data[[#This Row],[Costo Producto
Proveedor ($/Unid)]]*data[[#This Row],[Cantidad]]</f>
        <v>0</v>
      </c>
      <c r="R70" s="135">
        <f>data[[#This Row],[Cantidad]]*data[[#This Row],[Precio de Venta Cliente ($/Unid)]]</f>
        <v>103.94</v>
      </c>
      <c r="S70" s="136"/>
      <c r="T70" s="87" t="s">
        <v>51</v>
      </c>
      <c r="U70" s="87" t="s">
        <v>73</v>
      </c>
      <c r="V70" s="137" t="s">
        <v>44</v>
      </c>
      <c r="W70" s="139" t="s">
        <v>44</v>
      </c>
      <c r="X70" s="87" t="s">
        <v>503</v>
      </c>
      <c r="Y70" s="87" t="s">
        <v>503</v>
      </c>
      <c r="Z70" s="87" t="s">
        <v>41</v>
      </c>
      <c r="AA70" s="87"/>
    </row>
    <row r="71" spans="2:27" s="38" customFormat="1" x14ac:dyDescent="0.25">
      <c r="B71" s="130"/>
      <c r="C71" s="130" t="str">
        <f>TEXT(data[[#This Row],[Fecha de Envío
Cotización]],"MMMM")</f>
        <v>abril</v>
      </c>
      <c r="D71" s="130">
        <v>44308</v>
      </c>
      <c r="E71" s="174" t="str">
        <f>IF(data[[#This Row],[Estatus de 
Cotización]]="PERDIDO","N/A","")</f>
        <v/>
      </c>
      <c r="F71" s="130"/>
      <c r="G71" s="86"/>
      <c r="H71" s="130"/>
      <c r="I71" s="86">
        <v>511919</v>
      </c>
      <c r="J71" s="87">
        <v>3503</v>
      </c>
      <c r="K71" s="131" t="s">
        <v>416</v>
      </c>
      <c r="L71" s="87"/>
      <c r="M71" s="142" t="s">
        <v>905</v>
      </c>
      <c r="N71" s="87">
        <v>2</v>
      </c>
      <c r="O71" s="133"/>
      <c r="P71" s="133">
        <v>131.77000000000001</v>
      </c>
      <c r="Q71" s="135">
        <f>data[[#This Row],[Costo Producto
Proveedor ($/Unid)]]*data[[#This Row],[Cantidad]]</f>
        <v>0</v>
      </c>
      <c r="R71" s="135">
        <f>data[[#This Row],[Cantidad]]*data[[#This Row],[Precio de Venta Cliente ($/Unid)]]</f>
        <v>263.54000000000002</v>
      </c>
      <c r="S71" s="136"/>
      <c r="T71" s="87" t="s">
        <v>73</v>
      </c>
      <c r="U71" s="87"/>
      <c r="V71" s="137" t="s">
        <v>46</v>
      </c>
      <c r="W71" s="139" t="s">
        <v>46</v>
      </c>
      <c r="X71" s="87" t="s">
        <v>23</v>
      </c>
      <c r="Y71" s="87" t="s">
        <v>23</v>
      </c>
      <c r="Z71" s="87" t="s">
        <v>41</v>
      </c>
      <c r="AA71" s="87"/>
    </row>
    <row r="72" spans="2:27" s="38" customFormat="1" x14ac:dyDescent="0.25">
      <c r="B72" s="130"/>
      <c r="C72" s="130" t="str">
        <f>TEXT(data[[#This Row],[Fecha de Envío
Cotización]],"MMMM")</f>
        <v>abril</v>
      </c>
      <c r="D72" s="130">
        <v>44308</v>
      </c>
      <c r="E72" s="130">
        <v>44328</v>
      </c>
      <c r="F72" s="130"/>
      <c r="G72" s="86">
        <v>500001889</v>
      </c>
      <c r="H72" s="130">
        <v>44328</v>
      </c>
      <c r="I72" s="86">
        <v>511510010</v>
      </c>
      <c r="J72" s="87" t="s">
        <v>1461</v>
      </c>
      <c r="K72" s="89" t="s">
        <v>1462</v>
      </c>
      <c r="L72" s="87"/>
      <c r="M72" s="91" t="s">
        <v>1463</v>
      </c>
      <c r="N72" s="87">
        <v>20</v>
      </c>
      <c r="O72" s="133"/>
      <c r="P72" s="134">
        <v>109</v>
      </c>
      <c r="Q72" s="135">
        <f>data[[#This Row],[Costo Producto
Proveedor ($/Unid)]]*data[[#This Row],[Cantidad]]</f>
        <v>0</v>
      </c>
      <c r="R72" s="135">
        <f>data[[#This Row],[Cantidad]]*data[[#This Row],[Precio de Venta Cliente ($/Unid)]]</f>
        <v>2180</v>
      </c>
      <c r="S72" s="136"/>
      <c r="T72" s="86" t="s">
        <v>15</v>
      </c>
      <c r="U72" s="86"/>
      <c r="V72" s="137" t="s">
        <v>44</v>
      </c>
      <c r="W72" s="139" t="s">
        <v>46</v>
      </c>
      <c r="X72" s="87" t="s">
        <v>503</v>
      </c>
      <c r="Y72" s="87" t="s">
        <v>503</v>
      </c>
      <c r="Z72" s="87" t="s">
        <v>41</v>
      </c>
      <c r="AA72" s="86" t="s">
        <v>1918</v>
      </c>
    </row>
    <row r="73" spans="2:27" s="38" customFormat="1" x14ac:dyDescent="0.25">
      <c r="B73" s="130"/>
      <c r="C73" s="130" t="str">
        <f>TEXT(data[[#This Row],[Fecha de Envío
Cotización]],"MMMM")</f>
        <v>abril</v>
      </c>
      <c r="D73" s="130">
        <v>44308</v>
      </c>
      <c r="E73" s="130">
        <v>44328</v>
      </c>
      <c r="F73" s="130"/>
      <c r="G73" s="86">
        <v>500001889</v>
      </c>
      <c r="H73" s="130">
        <v>44328</v>
      </c>
      <c r="I73" s="86">
        <v>511510011</v>
      </c>
      <c r="J73" s="87" t="s">
        <v>1461</v>
      </c>
      <c r="K73" s="89" t="s">
        <v>1462</v>
      </c>
      <c r="L73" s="87"/>
      <c r="M73" s="91" t="s">
        <v>1464</v>
      </c>
      <c r="N73" s="87">
        <v>50</v>
      </c>
      <c r="O73" s="133"/>
      <c r="P73" s="134">
        <v>106</v>
      </c>
      <c r="Q73" s="135">
        <f>data[[#This Row],[Costo Producto
Proveedor ($/Unid)]]*data[[#This Row],[Cantidad]]</f>
        <v>0</v>
      </c>
      <c r="R73" s="135">
        <f>data[[#This Row],[Cantidad]]*data[[#This Row],[Precio de Venta Cliente ($/Unid)]]</f>
        <v>5300</v>
      </c>
      <c r="S73" s="136"/>
      <c r="T73" s="86" t="s">
        <v>15</v>
      </c>
      <c r="U73" s="86"/>
      <c r="V73" s="137" t="s">
        <v>44</v>
      </c>
      <c r="W73" s="139" t="s">
        <v>46</v>
      </c>
      <c r="X73" s="87" t="s">
        <v>503</v>
      </c>
      <c r="Y73" s="87" t="s">
        <v>503</v>
      </c>
      <c r="Z73" s="87" t="s">
        <v>41</v>
      </c>
      <c r="AA73" s="86" t="s">
        <v>1918</v>
      </c>
    </row>
    <row r="74" spans="2:27" s="38" customFormat="1" x14ac:dyDescent="0.25">
      <c r="B74" s="130"/>
      <c r="C74" s="130" t="str">
        <f>TEXT(data[[#This Row],[Fecha de Envío
Cotización]],"MMMM")</f>
        <v>abril</v>
      </c>
      <c r="D74" s="130">
        <v>44309</v>
      </c>
      <c r="E74" s="174" t="str">
        <f>IF(data[[#This Row],[Estatus de 
Cotización]]="PERDIDO","N/A","")</f>
        <v>N/A</v>
      </c>
      <c r="F74" s="130"/>
      <c r="G74" s="86"/>
      <c r="H74" s="130"/>
      <c r="I74" s="86">
        <v>511932</v>
      </c>
      <c r="J74" s="87">
        <v>3504</v>
      </c>
      <c r="K74" s="131" t="s">
        <v>413</v>
      </c>
      <c r="L74" s="87"/>
      <c r="M74" s="142" t="s">
        <v>906</v>
      </c>
      <c r="N74" s="87">
        <v>6</v>
      </c>
      <c r="O74" s="133"/>
      <c r="P74" s="133">
        <v>37.76</v>
      </c>
      <c r="Q74" s="135">
        <f>data[[#This Row],[Costo Producto
Proveedor ($/Unid)]]*data[[#This Row],[Cantidad]]</f>
        <v>0</v>
      </c>
      <c r="R74" s="135">
        <f>data[[#This Row],[Cantidad]]*data[[#This Row],[Precio de Venta Cliente ($/Unid)]]</f>
        <v>226.56</v>
      </c>
      <c r="S74" s="136"/>
      <c r="T74" s="87" t="s">
        <v>73</v>
      </c>
      <c r="U74" s="87"/>
      <c r="V74" s="137" t="s">
        <v>42</v>
      </c>
      <c r="W74" s="139" t="s">
        <v>42</v>
      </c>
      <c r="X74" s="87" t="s">
        <v>23</v>
      </c>
      <c r="Y74" s="87" t="s">
        <v>23</v>
      </c>
      <c r="Z74" s="87" t="s">
        <v>41</v>
      </c>
      <c r="AA74" s="87"/>
    </row>
    <row r="75" spans="2:27" s="38" customFormat="1" x14ac:dyDescent="0.25">
      <c r="B75" s="130"/>
      <c r="C75" s="130" t="str">
        <f>TEXT(data[[#This Row],[Fecha de Envío
Cotización]],"MMMM")</f>
        <v>abril</v>
      </c>
      <c r="D75" s="130">
        <v>44309</v>
      </c>
      <c r="E75" s="130">
        <v>44314</v>
      </c>
      <c r="F75" s="130">
        <v>44337</v>
      </c>
      <c r="G75" s="86">
        <v>143350</v>
      </c>
      <c r="H75" s="130">
        <v>44314</v>
      </c>
      <c r="I75" s="86">
        <v>511933</v>
      </c>
      <c r="J75" s="87">
        <v>3505</v>
      </c>
      <c r="K75" s="131" t="s">
        <v>475</v>
      </c>
      <c r="L75" s="87"/>
      <c r="M75" s="142" t="s">
        <v>907</v>
      </c>
      <c r="N75" s="87">
        <v>1</v>
      </c>
      <c r="O75" s="133"/>
      <c r="P75" s="133">
        <v>176.85</v>
      </c>
      <c r="Q75" s="135">
        <f>data[[#This Row],[Costo Producto
Proveedor ($/Unid)]]*data[[#This Row],[Cantidad]]</f>
        <v>0</v>
      </c>
      <c r="R75" s="135">
        <f>data[[#This Row],[Cantidad]]*data[[#This Row],[Precio de Venta Cliente ($/Unid)]]</f>
        <v>176.85</v>
      </c>
      <c r="S75" s="136"/>
      <c r="T75" s="87" t="s">
        <v>73</v>
      </c>
      <c r="U75" s="87"/>
      <c r="V75" s="137" t="s">
        <v>44</v>
      </c>
      <c r="W75" s="139" t="s">
        <v>46</v>
      </c>
      <c r="X75" s="87" t="s">
        <v>503</v>
      </c>
      <c r="Y75" s="87" t="s">
        <v>503</v>
      </c>
      <c r="Z75" s="87" t="s">
        <v>41</v>
      </c>
      <c r="AA75" s="87"/>
    </row>
    <row r="76" spans="2:27" s="38" customFormat="1" x14ac:dyDescent="0.25">
      <c r="B76" s="130"/>
      <c r="C76" s="130" t="str">
        <f>TEXT(data[[#This Row],[Fecha de Envío
Cotización]],"MMMM")</f>
        <v>abril</v>
      </c>
      <c r="D76" s="130">
        <v>44312</v>
      </c>
      <c r="E76" s="174" t="str">
        <f>IF(data[[#This Row],[Estatus de 
Cotización]]="PERDIDO","N/A","")</f>
        <v>N/A</v>
      </c>
      <c r="F76" s="130"/>
      <c r="G76" s="86"/>
      <c r="H76" s="130"/>
      <c r="I76" s="86">
        <v>511983</v>
      </c>
      <c r="J76" s="87">
        <v>3506</v>
      </c>
      <c r="K76" s="131" t="s">
        <v>413</v>
      </c>
      <c r="L76" s="87"/>
      <c r="M76" s="143" t="s">
        <v>918</v>
      </c>
      <c r="N76" s="87">
        <v>2</v>
      </c>
      <c r="O76" s="133"/>
      <c r="P76" s="133">
        <v>78.88</v>
      </c>
      <c r="Q76" s="135">
        <f>data[[#This Row],[Costo Producto
Proveedor ($/Unid)]]*data[[#This Row],[Cantidad]]</f>
        <v>0</v>
      </c>
      <c r="R76" s="135">
        <f>data[[#This Row],[Cantidad]]*data[[#This Row],[Precio de Venta Cliente ($/Unid)]]</f>
        <v>157.76</v>
      </c>
      <c r="S76" s="136"/>
      <c r="T76" s="87" t="s">
        <v>73</v>
      </c>
      <c r="U76" s="87"/>
      <c r="V76" s="137" t="s">
        <v>42</v>
      </c>
      <c r="W76" s="139" t="s">
        <v>42</v>
      </c>
      <c r="X76" s="87" t="s">
        <v>23</v>
      </c>
      <c r="Y76" s="87" t="s">
        <v>23</v>
      </c>
      <c r="Z76" s="87" t="s">
        <v>41</v>
      </c>
      <c r="AA76" s="87"/>
    </row>
    <row r="77" spans="2:27" s="50" customFormat="1" x14ac:dyDescent="0.25">
      <c r="B77" s="130"/>
      <c r="C77" s="130" t="str">
        <f>TEXT(data[[#This Row],[Fecha de Envío
Cotización]],"MMMM")</f>
        <v>abril</v>
      </c>
      <c r="D77" s="130">
        <v>44313</v>
      </c>
      <c r="E77" s="174" t="str">
        <f>IF(data[[#This Row],[Estatus de 
Cotización]]="PERDIDO","N/A","")</f>
        <v>N/A</v>
      </c>
      <c r="F77" s="130"/>
      <c r="G77" s="86"/>
      <c r="H77" s="130"/>
      <c r="I77" s="86">
        <v>511995</v>
      </c>
      <c r="J77" s="87">
        <v>3507</v>
      </c>
      <c r="K77" s="131" t="s">
        <v>76</v>
      </c>
      <c r="L77" s="87"/>
      <c r="M77" s="143" t="s">
        <v>943</v>
      </c>
      <c r="N77" s="87">
        <v>1</v>
      </c>
      <c r="O77" s="133"/>
      <c r="P77" s="133">
        <v>88.41</v>
      </c>
      <c r="Q77" s="135">
        <f>data[[#This Row],[Costo Producto
Proveedor ($/Unid)]]*data[[#This Row],[Cantidad]]</f>
        <v>0</v>
      </c>
      <c r="R77" s="135">
        <f>data[[#This Row],[Cantidad]]*data[[#This Row],[Precio de Venta Cliente ($/Unid)]]</f>
        <v>88.41</v>
      </c>
      <c r="S77" s="136"/>
      <c r="T77" s="87" t="s">
        <v>73</v>
      </c>
      <c r="U77" s="87"/>
      <c r="V77" s="137" t="s">
        <v>42</v>
      </c>
      <c r="W77" s="139" t="s">
        <v>42</v>
      </c>
      <c r="X77" s="87" t="s">
        <v>23</v>
      </c>
      <c r="Y77" s="87" t="s">
        <v>23</v>
      </c>
      <c r="Z77" s="87" t="s">
        <v>41</v>
      </c>
      <c r="AA77" s="87"/>
    </row>
    <row r="78" spans="2:27" s="50" customFormat="1" x14ac:dyDescent="0.25">
      <c r="B78" s="130"/>
      <c r="C78" s="130" t="str">
        <f>TEXT(data[[#This Row],[Fecha de Envío
Cotización]],"MMMM")</f>
        <v>mayo</v>
      </c>
      <c r="D78" s="130">
        <v>44319</v>
      </c>
      <c r="E78" s="174" t="str">
        <f>IF(data[[#This Row],[Estatus de 
Cotización]]="PERDIDO","N/A","")</f>
        <v/>
      </c>
      <c r="F78" s="130"/>
      <c r="G78" s="86"/>
      <c r="H78" s="130"/>
      <c r="I78" s="86">
        <v>512043</v>
      </c>
      <c r="J78" s="87">
        <v>3508</v>
      </c>
      <c r="K78" s="131" t="s">
        <v>416</v>
      </c>
      <c r="L78" s="87"/>
      <c r="M78" s="143" t="s">
        <v>1075</v>
      </c>
      <c r="N78" s="87">
        <v>4</v>
      </c>
      <c r="O78" s="133"/>
      <c r="P78" s="133">
        <v>1251.03</v>
      </c>
      <c r="Q78" s="135">
        <f>data[[#This Row],[Costo Producto
Proveedor ($/Unid)]]*data[[#This Row],[Cantidad]]</f>
        <v>0</v>
      </c>
      <c r="R78" s="135">
        <f>data[[#This Row],[Cantidad]]*data[[#This Row],[Precio de Venta Cliente ($/Unid)]]</f>
        <v>5004.12</v>
      </c>
      <c r="S78" s="136"/>
      <c r="T78" s="87" t="s">
        <v>419</v>
      </c>
      <c r="U78" s="87"/>
      <c r="V78" s="137" t="s">
        <v>46</v>
      </c>
      <c r="W78" s="139" t="s">
        <v>46</v>
      </c>
      <c r="X78" s="87" t="s">
        <v>23</v>
      </c>
      <c r="Y78" s="87" t="s">
        <v>23</v>
      </c>
      <c r="Z78" s="87" t="s">
        <v>41</v>
      </c>
      <c r="AA78" s="87"/>
    </row>
    <row r="79" spans="2:27" s="50" customFormat="1" x14ac:dyDescent="0.25">
      <c r="B79" s="130"/>
      <c r="C79" s="130" t="str">
        <f>TEXT(data[[#This Row],[Fecha de Envío
Cotización]],"MMMM")</f>
        <v>mayo</v>
      </c>
      <c r="D79" s="130">
        <v>44320</v>
      </c>
      <c r="E79" s="104" t="str">
        <f>IF(data[[#This Row],[Estatus de 
Cotización]]="PERDIDO","N/A","")</f>
        <v>N/A</v>
      </c>
      <c r="F79" s="130"/>
      <c r="G79" s="86"/>
      <c r="H79" s="130"/>
      <c r="I79" s="86">
        <v>512065</v>
      </c>
      <c r="J79" s="87">
        <v>3509</v>
      </c>
      <c r="K79" s="131" t="s">
        <v>306</v>
      </c>
      <c r="L79" s="87"/>
      <c r="M79" s="143" t="s">
        <v>1254</v>
      </c>
      <c r="N79" s="87">
        <v>1</v>
      </c>
      <c r="O79" s="133"/>
      <c r="P79" s="133">
        <v>7285.92</v>
      </c>
      <c r="Q79" s="135">
        <f>data[[#This Row],[Costo Producto
Proveedor ($/Unid)]]*data[[#This Row],[Cantidad]]</f>
        <v>0</v>
      </c>
      <c r="R79" s="135">
        <f>data[[#This Row],[Cantidad]]*data[[#This Row],[Precio de Venta Cliente ($/Unid)]]</f>
        <v>7285.92</v>
      </c>
      <c r="S79" s="136"/>
      <c r="T79" s="87" t="s">
        <v>1256</v>
      </c>
      <c r="U79" s="87"/>
      <c r="V79" s="137" t="s">
        <v>42</v>
      </c>
      <c r="W79" s="139" t="s">
        <v>42</v>
      </c>
      <c r="X79" s="87" t="s">
        <v>23</v>
      </c>
      <c r="Y79" s="87" t="s">
        <v>23</v>
      </c>
      <c r="Z79" s="87" t="s">
        <v>41</v>
      </c>
      <c r="AA79" s="87"/>
    </row>
    <row r="80" spans="2:27" s="50" customFormat="1" x14ac:dyDescent="0.25">
      <c r="B80" s="130"/>
      <c r="C80" s="130" t="str">
        <f>TEXT(data[[#This Row],[Fecha de Envío
Cotización]],"MMMM")</f>
        <v>mayo</v>
      </c>
      <c r="D80" s="130">
        <v>44320</v>
      </c>
      <c r="E80" s="104" t="str">
        <f>IF(data[[#This Row],[Estatus de 
Cotización]]="PERDIDO","N/A","")</f>
        <v>N/A</v>
      </c>
      <c r="F80" s="130"/>
      <c r="G80" s="86"/>
      <c r="H80" s="130"/>
      <c r="I80" s="86">
        <v>512066</v>
      </c>
      <c r="J80" s="87">
        <v>3509</v>
      </c>
      <c r="K80" s="131" t="s">
        <v>306</v>
      </c>
      <c r="L80" s="87"/>
      <c r="M80" s="132" t="s">
        <v>1255</v>
      </c>
      <c r="N80" s="87">
        <v>2</v>
      </c>
      <c r="O80" s="133"/>
      <c r="P80" s="133">
        <v>7255.92</v>
      </c>
      <c r="Q80" s="135">
        <f>data[[#This Row],[Costo Producto
Proveedor ($/Unid)]]*data[[#This Row],[Cantidad]]</f>
        <v>0</v>
      </c>
      <c r="R80" s="135">
        <f>data[[#This Row],[Cantidad]]*data[[#This Row],[Precio de Venta Cliente ($/Unid)]]</f>
        <v>14511.84</v>
      </c>
      <c r="S80" s="136"/>
      <c r="T80" s="87" t="s">
        <v>1256</v>
      </c>
      <c r="U80" s="87"/>
      <c r="V80" s="137" t="s">
        <v>42</v>
      </c>
      <c r="W80" s="139" t="s">
        <v>42</v>
      </c>
      <c r="X80" s="87" t="s">
        <v>23</v>
      </c>
      <c r="Y80" s="87" t="s">
        <v>23</v>
      </c>
      <c r="Z80" s="87" t="s">
        <v>41</v>
      </c>
      <c r="AA80" s="87"/>
    </row>
    <row r="81" spans="2:27" s="50" customFormat="1" x14ac:dyDescent="0.25">
      <c r="B81" s="130"/>
      <c r="C81" s="130" t="str">
        <f>TEXT(data[[#This Row],[Fecha de Envío
Cotización]],"MMMM")</f>
        <v>mayo</v>
      </c>
      <c r="D81" s="130">
        <v>44321</v>
      </c>
      <c r="E81" s="104" t="str">
        <f>IF(data[[#This Row],[Estatus de 
Cotización]]="PERDIDO","N/A","")</f>
        <v>N/A</v>
      </c>
      <c r="F81" s="130"/>
      <c r="G81" s="86"/>
      <c r="H81" s="130"/>
      <c r="I81" s="86">
        <v>512083</v>
      </c>
      <c r="J81" s="87">
        <v>3510</v>
      </c>
      <c r="K81" s="131" t="s">
        <v>475</v>
      </c>
      <c r="L81" s="87"/>
      <c r="M81" s="132" t="s">
        <v>1250</v>
      </c>
      <c r="N81" s="87">
        <v>10</v>
      </c>
      <c r="O81" s="133"/>
      <c r="P81" s="133">
        <v>4.51</v>
      </c>
      <c r="Q81" s="135">
        <f>data[[#This Row],[Costo Producto
Proveedor ($/Unid)]]*data[[#This Row],[Cantidad]]</f>
        <v>0</v>
      </c>
      <c r="R81" s="135">
        <f>data[[#This Row],[Cantidad]]*data[[#This Row],[Precio de Venta Cliente ($/Unid)]]</f>
        <v>45.099999999999994</v>
      </c>
      <c r="S81" s="136"/>
      <c r="T81" s="87" t="s">
        <v>73</v>
      </c>
      <c r="U81" s="87"/>
      <c r="V81" s="137" t="s">
        <v>42</v>
      </c>
      <c r="W81" s="139" t="s">
        <v>42</v>
      </c>
      <c r="X81" s="87" t="s">
        <v>23</v>
      </c>
      <c r="Y81" s="87" t="s">
        <v>23</v>
      </c>
      <c r="Z81" s="87" t="s">
        <v>41</v>
      </c>
      <c r="AA81" s="87" t="s">
        <v>1416</v>
      </c>
    </row>
    <row r="82" spans="2:27" s="50" customFormat="1" x14ac:dyDescent="0.25">
      <c r="B82" s="130"/>
      <c r="C82" s="130" t="str">
        <f>TEXT(data[[#This Row],[Fecha de Envío
Cotización]],"MMMM")</f>
        <v>mayo</v>
      </c>
      <c r="D82" s="130">
        <v>44321</v>
      </c>
      <c r="E82" s="104" t="str">
        <f>IF(data[[#This Row],[Estatus de 
Cotización]]="PERDIDO","N/A","")</f>
        <v>N/A</v>
      </c>
      <c r="F82" s="130"/>
      <c r="G82" s="86"/>
      <c r="H82" s="130"/>
      <c r="I82" s="86">
        <v>512084</v>
      </c>
      <c r="J82" s="87">
        <v>3510</v>
      </c>
      <c r="K82" s="131" t="s">
        <v>475</v>
      </c>
      <c r="L82" s="87"/>
      <c r="M82" s="132" t="s">
        <v>1251</v>
      </c>
      <c r="N82" s="87">
        <v>1</v>
      </c>
      <c r="O82" s="133"/>
      <c r="P82" s="133">
        <v>7.52</v>
      </c>
      <c r="Q82" s="135">
        <f>data[[#This Row],[Costo Producto
Proveedor ($/Unid)]]*data[[#This Row],[Cantidad]]</f>
        <v>0</v>
      </c>
      <c r="R82" s="135">
        <f>data[[#This Row],[Cantidad]]*data[[#This Row],[Precio de Venta Cliente ($/Unid)]]</f>
        <v>7.52</v>
      </c>
      <c r="S82" s="136"/>
      <c r="T82" s="87" t="s">
        <v>73</v>
      </c>
      <c r="U82" s="87"/>
      <c r="V82" s="137" t="s">
        <v>42</v>
      </c>
      <c r="W82" s="139" t="s">
        <v>42</v>
      </c>
      <c r="X82" s="87" t="s">
        <v>23</v>
      </c>
      <c r="Y82" s="87" t="s">
        <v>23</v>
      </c>
      <c r="Z82" s="87" t="s">
        <v>41</v>
      </c>
      <c r="AA82" s="87" t="s">
        <v>1416</v>
      </c>
    </row>
    <row r="83" spans="2:27" s="38" customFormat="1" x14ac:dyDescent="0.25">
      <c r="B83" s="130"/>
      <c r="C83" s="130" t="str">
        <f>TEXT(data[[#This Row],[Fecha de Envío
Cotización]],"MMMM")</f>
        <v>mayo</v>
      </c>
      <c r="D83" s="130">
        <v>44321</v>
      </c>
      <c r="E83" s="130">
        <v>44323</v>
      </c>
      <c r="F83" s="130">
        <v>44337</v>
      </c>
      <c r="G83" s="86">
        <v>143394</v>
      </c>
      <c r="H83" s="130">
        <v>44323</v>
      </c>
      <c r="I83" s="86">
        <v>512085</v>
      </c>
      <c r="J83" s="87">
        <v>3510</v>
      </c>
      <c r="K83" s="131" t="s">
        <v>475</v>
      </c>
      <c r="L83" s="87"/>
      <c r="M83" s="132" t="s">
        <v>1252</v>
      </c>
      <c r="N83" s="87">
        <v>1</v>
      </c>
      <c r="O83" s="133"/>
      <c r="P83" s="133">
        <v>44.22</v>
      </c>
      <c r="Q83" s="135">
        <f>data[[#This Row],[Costo Producto
Proveedor ($/Unid)]]*data[[#This Row],[Cantidad]]</f>
        <v>0</v>
      </c>
      <c r="R83" s="135">
        <f>data[[#This Row],[Cantidad]]*data[[#This Row],[Precio de Venta Cliente ($/Unid)]]</f>
        <v>44.22</v>
      </c>
      <c r="S83" s="136"/>
      <c r="T83" s="87" t="s">
        <v>73</v>
      </c>
      <c r="U83" s="87"/>
      <c r="V83" s="137" t="s">
        <v>44</v>
      </c>
      <c r="W83" s="139" t="s">
        <v>46</v>
      </c>
      <c r="X83" s="87" t="s">
        <v>45</v>
      </c>
      <c r="Y83" s="87" t="s">
        <v>47</v>
      </c>
      <c r="Z83" s="87" t="s">
        <v>41</v>
      </c>
      <c r="AA83" s="87"/>
    </row>
    <row r="84" spans="2:27" s="38" customFormat="1" x14ac:dyDescent="0.25">
      <c r="B84" s="130"/>
      <c r="C84" s="130" t="str">
        <f>TEXT(data[[#This Row],[Fecha de Envío
Cotización]],"MMMM")</f>
        <v>mayo</v>
      </c>
      <c r="D84" s="130">
        <v>44321</v>
      </c>
      <c r="E84" s="130">
        <v>44323</v>
      </c>
      <c r="F84" s="130"/>
      <c r="G84" s="86">
        <v>143394</v>
      </c>
      <c r="H84" s="130">
        <v>44323</v>
      </c>
      <c r="I84" s="86">
        <v>512086</v>
      </c>
      <c r="J84" s="87">
        <v>3510</v>
      </c>
      <c r="K84" s="131" t="s">
        <v>475</v>
      </c>
      <c r="L84" s="87"/>
      <c r="M84" s="132" t="s">
        <v>1253</v>
      </c>
      <c r="N84" s="87">
        <v>1</v>
      </c>
      <c r="O84" s="133"/>
      <c r="P84" s="133">
        <v>584.5</v>
      </c>
      <c r="Q84" s="135">
        <f>data[[#This Row],[Costo Producto
Proveedor ($/Unid)]]*data[[#This Row],[Cantidad]]</f>
        <v>0</v>
      </c>
      <c r="R84" s="135">
        <f>data[[#This Row],[Cantidad]]*data[[#This Row],[Precio de Venta Cliente ($/Unid)]]</f>
        <v>584.5</v>
      </c>
      <c r="S84" s="136"/>
      <c r="T84" s="87" t="s">
        <v>73</v>
      </c>
      <c r="U84" s="87"/>
      <c r="V84" s="137" t="s">
        <v>44</v>
      </c>
      <c r="W84" s="139" t="s">
        <v>46</v>
      </c>
      <c r="X84" s="87" t="s">
        <v>503</v>
      </c>
      <c r="Y84" s="87" t="s">
        <v>503</v>
      </c>
      <c r="Z84" s="87" t="s">
        <v>41</v>
      </c>
      <c r="AA84" s="87"/>
    </row>
    <row r="85" spans="2:27" s="50" customFormat="1" x14ac:dyDescent="0.25">
      <c r="B85" s="130"/>
      <c r="C85" s="130" t="str">
        <f>TEXT(data[[#This Row],[Fecha de Envío
Cotización]],"MMMM")</f>
        <v>mayo</v>
      </c>
      <c r="D85" s="130">
        <v>44322</v>
      </c>
      <c r="E85" s="174">
        <v>44340</v>
      </c>
      <c r="F85" s="130"/>
      <c r="G85" s="86">
        <v>414321</v>
      </c>
      <c r="H85" s="130">
        <v>44340</v>
      </c>
      <c r="I85" s="86">
        <v>512091</v>
      </c>
      <c r="J85" s="87">
        <v>3511</v>
      </c>
      <c r="K85" s="131" t="s">
        <v>416</v>
      </c>
      <c r="L85" s="87"/>
      <c r="M85" s="91" t="s">
        <v>1281</v>
      </c>
      <c r="N85" s="87">
        <v>1</v>
      </c>
      <c r="O85" s="133"/>
      <c r="P85" s="134">
        <v>3821.24</v>
      </c>
      <c r="Q85" s="135">
        <f>data[[#This Row],[Costo Producto
Proveedor ($/Unid)]]*data[[#This Row],[Cantidad]]</f>
        <v>0</v>
      </c>
      <c r="R85" s="135">
        <f>data[[#This Row],[Cantidad]]*data[[#This Row],[Precio de Venta Cliente ($/Unid)]]</f>
        <v>3821.24</v>
      </c>
      <c r="S85" s="136"/>
      <c r="T85" s="87" t="s">
        <v>73</v>
      </c>
      <c r="U85" s="87"/>
      <c r="V85" s="137" t="s">
        <v>44</v>
      </c>
      <c r="W85" s="139" t="s">
        <v>44</v>
      </c>
      <c r="X85" s="87" t="s">
        <v>503</v>
      </c>
      <c r="Y85" s="87" t="s">
        <v>503</v>
      </c>
      <c r="Z85" s="87" t="s">
        <v>41</v>
      </c>
      <c r="AA85" s="87"/>
    </row>
    <row r="86" spans="2:27" s="38" customFormat="1" x14ac:dyDescent="0.25">
      <c r="B86" s="130"/>
      <c r="C86" s="130" t="str">
        <f>TEXT(data[[#This Row],[Fecha de Envío
Cotización]],"MMMM")</f>
        <v>mayo</v>
      </c>
      <c r="D86" s="130">
        <v>44322</v>
      </c>
      <c r="E86" s="174" t="str">
        <f>IF(data[[#This Row],[Estatus de 
Cotización]]="PERDIDO","N/A","")</f>
        <v/>
      </c>
      <c r="F86" s="130"/>
      <c r="G86" s="86"/>
      <c r="H86" s="130"/>
      <c r="I86" s="86">
        <v>512092</v>
      </c>
      <c r="J86" s="87">
        <v>3512</v>
      </c>
      <c r="K86" s="131" t="s">
        <v>475</v>
      </c>
      <c r="L86" s="87"/>
      <c r="M86" s="91" t="s">
        <v>1282</v>
      </c>
      <c r="N86" s="87">
        <v>1</v>
      </c>
      <c r="O86" s="133"/>
      <c r="P86" s="134">
        <v>494.05</v>
      </c>
      <c r="Q86" s="135">
        <f>data[[#This Row],[Costo Producto
Proveedor ($/Unid)]]*data[[#This Row],[Cantidad]]</f>
        <v>0</v>
      </c>
      <c r="R86" s="135">
        <f>data[[#This Row],[Cantidad]]*data[[#This Row],[Precio de Venta Cliente ($/Unid)]]</f>
        <v>494.05</v>
      </c>
      <c r="S86" s="136"/>
      <c r="T86" s="87" t="s">
        <v>77</v>
      </c>
      <c r="U86" s="87"/>
      <c r="V86" s="137" t="s">
        <v>46</v>
      </c>
      <c r="W86" s="139" t="s">
        <v>46</v>
      </c>
      <c r="X86" s="87" t="s">
        <v>23</v>
      </c>
      <c r="Y86" s="87" t="s">
        <v>23</v>
      </c>
      <c r="Z86" s="87" t="s">
        <v>41</v>
      </c>
      <c r="AA86" s="87"/>
    </row>
    <row r="87" spans="2:27" s="38" customFormat="1" x14ac:dyDescent="0.25">
      <c r="B87" s="130"/>
      <c r="C87" s="130" t="str">
        <f>TEXT(data[[#This Row],[Fecha de Envío
Cotización]],"MMMM")</f>
        <v>mayo</v>
      </c>
      <c r="D87" s="130">
        <v>44323</v>
      </c>
      <c r="E87" s="174" t="str">
        <f>IF(data[[#This Row],[Estatus de 
Cotización]]="PERDIDO","N/A","")</f>
        <v/>
      </c>
      <c r="F87" s="130"/>
      <c r="G87" s="86"/>
      <c r="H87" s="130"/>
      <c r="I87" s="86">
        <v>512121</v>
      </c>
      <c r="J87" s="87">
        <v>3513</v>
      </c>
      <c r="K87" s="131" t="s">
        <v>475</v>
      </c>
      <c r="L87" s="87"/>
      <c r="M87" s="132" t="s">
        <v>1377</v>
      </c>
      <c r="N87" s="87">
        <v>2</v>
      </c>
      <c r="O87" s="133"/>
      <c r="P87" s="134">
        <v>99.85</v>
      </c>
      <c r="Q87" s="135">
        <f>data[[#This Row],[Costo Producto
Proveedor ($/Unid)]]*data[[#This Row],[Cantidad]]</f>
        <v>0</v>
      </c>
      <c r="R87" s="135">
        <f>data[[#This Row],[Cantidad]]*data[[#This Row],[Precio de Venta Cliente ($/Unid)]]</f>
        <v>199.7</v>
      </c>
      <c r="S87" s="136"/>
      <c r="T87" s="87" t="s">
        <v>119</v>
      </c>
      <c r="U87" s="87"/>
      <c r="V87" s="137" t="s">
        <v>46</v>
      </c>
      <c r="W87" s="139" t="s">
        <v>46</v>
      </c>
      <c r="X87" s="87" t="s">
        <v>23</v>
      </c>
      <c r="Y87" s="87" t="s">
        <v>23</v>
      </c>
      <c r="Z87" s="87" t="s">
        <v>41</v>
      </c>
      <c r="AA87" s="87"/>
    </row>
    <row r="88" spans="2:27" s="38" customFormat="1" x14ac:dyDescent="0.25">
      <c r="B88" s="130"/>
      <c r="C88" s="130" t="str">
        <f>TEXT(data[[#This Row],[Fecha de Envío
Cotización]],"MMMM")</f>
        <v>mayo</v>
      </c>
      <c r="D88" s="130">
        <v>44326</v>
      </c>
      <c r="E88" s="174" t="str">
        <f>IF(data[[#This Row],[Estatus de 
Cotización]]="PERDIDO","N/A","")</f>
        <v>N/A</v>
      </c>
      <c r="F88" s="130"/>
      <c r="G88" s="86"/>
      <c r="H88" s="130"/>
      <c r="I88" s="86">
        <v>5115946</v>
      </c>
      <c r="J88" s="87">
        <v>3514</v>
      </c>
      <c r="K88" s="131" t="s">
        <v>1390</v>
      </c>
      <c r="L88" s="87"/>
      <c r="M88" s="132" t="s">
        <v>1391</v>
      </c>
      <c r="N88" s="87">
        <v>2</v>
      </c>
      <c r="O88" s="133"/>
      <c r="P88" s="133">
        <v>1364.24</v>
      </c>
      <c r="Q88" s="135">
        <f>data[[#This Row],[Costo Producto
Proveedor ($/Unid)]]*data[[#This Row],[Cantidad]]</f>
        <v>0</v>
      </c>
      <c r="R88" s="135">
        <f>data[[#This Row],[Cantidad]]*data[[#This Row],[Precio de Venta Cliente ($/Unid)]]</f>
        <v>2728.48</v>
      </c>
      <c r="S88" s="136"/>
      <c r="T88" s="87" t="s">
        <v>73</v>
      </c>
      <c r="U88" s="87"/>
      <c r="V88" s="137" t="s">
        <v>42</v>
      </c>
      <c r="W88" s="139" t="s">
        <v>42</v>
      </c>
      <c r="X88" s="87" t="s">
        <v>23</v>
      </c>
      <c r="Y88" s="87" t="s">
        <v>23</v>
      </c>
      <c r="Z88" s="87" t="s">
        <v>41</v>
      </c>
      <c r="AA88" s="87"/>
    </row>
    <row r="89" spans="2:27" s="38" customFormat="1" x14ac:dyDescent="0.25">
      <c r="B89" s="130"/>
      <c r="C89" s="130" t="str">
        <f>TEXT(data[[#This Row],[Fecha de Envío
Cotización]],"MMMM")</f>
        <v>mayo</v>
      </c>
      <c r="D89" s="130">
        <v>44326</v>
      </c>
      <c r="E89" s="174" t="str">
        <f>IF(data[[#This Row],[Estatus de 
Cotización]]="PERDIDO","N/A","")</f>
        <v>N/A</v>
      </c>
      <c r="F89" s="130"/>
      <c r="G89" s="86"/>
      <c r="H89" s="130"/>
      <c r="I89" s="86">
        <v>5115947</v>
      </c>
      <c r="J89" s="87">
        <v>3514</v>
      </c>
      <c r="K89" s="131" t="s">
        <v>1390</v>
      </c>
      <c r="L89" s="87"/>
      <c r="M89" s="132" t="s">
        <v>1392</v>
      </c>
      <c r="N89" s="87">
        <v>1</v>
      </c>
      <c r="O89" s="133"/>
      <c r="P89" s="133">
        <v>982.57</v>
      </c>
      <c r="Q89" s="135">
        <f>data[[#This Row],[Costo Producto
Proveedor ($/Unid)]]*data[[#This Row],[Cantidad]]</f>
        <v>0</v>
      </c>
      <c r="R89" s="135">
        <f>data[[#This Row],[Cantidad]]*data[[#This Row],[Precio de Venta Cliente ($/Unid)]]</f>
        <v>982.57</v>
      </c>
      <c r="S89" s="136"/>
      <c r="T89" s="87" t="s">
        <v>73</v>
      </c>
      <c r="U89" s="87"/>
      <c r="V89" s="137" t="s">
        <v>42</v>
      </c>
      <c r="W89" s="139" t="s">
        <v>42</v>
      </c>
      <c r="X89" s="87" t="s">
        <v>23</v>
      </c>
      <c r="Y89" s="87" t="s">
        <v>23</v>
      </c>
      <c r="Z89" s="87" t="s">
        <v>41</v>
      </c>
      <c r="AA89" s="87"/>
    </row>
    <row r="90" spans="2:27" s="38" customFormat="1" x14ac:dyDescent="0.25">
      <c r="B90" s="130"/>
      <c r="C90" s="130" t="str">
        <f>TEXT(data[[#This Row],[Fecha de Envío
Cotización]],"MMMM")</f>
        <v>mayo</v>
      </c>
      <c r="D90" s="130">
        <v>44326</v>
      </c>
      <c r="E90" s="174" t="str">
        <f>IF(data[[#This Row],[Estatus de 
Cotización]]="PERDIDO","N/A","")</f>
        <v>N/A</v>
      </c>
      <c r="F90" s="130"/>
      <c r="G90" s="86"/>
      <c r="H90" s="130"/>
      <c r="I90" s="86">
        <v>5115948</v>
      </c>
      <c r="J90" s="87">
        <v>3514</v>
      </c>
      <c r="K90" s="131" t="s">
        <v>1390</v>
      </c>
      <c r="L90" s="87"/>
      <c r="M90" s="132" t="s">
        <v>1393</v>
      </c>
      <c r="N90" s="87">
        <v>1</v>
      </c>
      <c r="O90" s="133"/>
      <c r="P90" s="133">
        <v>1129.75</v>
      </c>
      <c r="Q90" s="135">
        <f>data[[#This Row],[Costo Producto
Proveedor ($/Unid)]]*data[[#This Row],[Cantidad]]</f>
        <v>0</v>
      </c>
      <c r="R90" s="135">
        <f>data[[#This Row],[Cantidad]]*data[[#This Row],[Precio de Venta Cliente ($/Unid)]]</f>
        <v>1129.75</v>
      </c>
      <c r="S90" s="136"/>
      <c r="T90" s="87" t="s">
        <v>73</v>
      </c>
      <c r="U90" s="87"/>
      <c r="V90" s="137" t="s">
        <v>42</v>
      </c>
      <c r="W90" s="139" t="s">
        <v>42</v>
      </c>
      <c r="X90" s="87" t="s">
        <v>23</v>
      </c>
      <c r="Y90" s="87" t="s">
        <v>23</v>
      </c>
      <c r="Z90" s="87" t="s">
        <v>41</v>
      </c>
      <c r="AA90" s="87"/>
    </row>
    <row r="91" spans="2:27" s="38" customFormat="1" x14ac:dyDescent="0.25">
      <c r="B91" s="130"/>
      <c r="C91" s="130" t="str">
        <f>TEXT(data[[#This Row],[Fecha de Envío
Cotización]],"MMMM")</f>
        <v>mayo</v>
      </c>
      <c r="D91" s="130">
        <v>44326</v>
      </c>
      <c r="E91" s="174" t="str">
        <f>IF(data[[#This Row],[Estatus de 
Cotización]]="PERDIDO","N/A","")</f>
        <v/>
      </c>
      <c r="F91" s="130"/>
      <c r="G91" s="86"/>
      <c r="H91" s="130"/>
      <c r="I91" s="86">
        <v>5115949</v>
      </c>
      <c r="J91" s="87">
        <v>3515</v>
      </c>
      <c r="K91" s="131" t="s">
        <v>262</v>
      </c>
      <c r="L91" s="87"/>
      <c r="M91" s="132" t="s">
        <v>1394</v>
      </c>
      <c r="N91" s="87">
        <v>1</v>
      </c>
      <c r="O91" s="133"/>
      <c r="P91" s="133">
        <v>64.16</v>
      </c>
      <c r="Q91" s="135">
        <f>data[[#This Row],[Costo Producto
Proveedor ($/Unid)]]*data[[#This Row],[Cantidad]]</f>
        <v>0</v>
      </c>
      <c r="R91" s="135">
        <f>data[[#This Row],[Cantidad]]*data[[#This Row],[Precio de Venta Cliente ($/Unid)]]</f>
        <v>64.16</v>
      </c>
      <c r="S91" s="136"/>
      <c r="T91" s="87" t="s">
        <v>73</v>
      </c>
      <c r="U91" s="87"/>
      <c r="V91" s="137" t="s">
        <v>46</v>
      </c>
      <c r="W91" s="139" t="s">
        <v>46</v>
      </c>
      <c r="X91" s="87" t="s">
        <v>23</v>
      </c>
      <c r="Y91" s="87" t="s">
        <v>23</v>
      </c>
      <c r="Z91" s="87" t="s">
        <v>41</v>
      </c>
      <c r="AA91" s="87"/>
    </row>
    <row r="92" spans="2:27" x14ac:dyDescent="0.25">
      <c r="B92" s="130"/>
      <c r="C92" s="130" t="str">
        <f>TEXT(data[[#This Row],[Fecha de Envío
Cotización]],"MMMM")</f>
        <v>mayo</v>
      </c>
      <c r="D92" s="130">
        <v>44326</v>
      </c>
      <c r="E92" s="174" t="str">
        <f>IF(data[[#This Row],[Estatus de 
Cotización]]="PERDIDO","N/A","")</f>
        <v/>
      </c>
      <c r="F92" s="130"/>
      <c r="G92" s="86"/>
      <c r="H92" s="130"/>
      <c r="I92" s="86">
        <v>5115950</v>
      </c>
      <c r="J92" s="87">
        <v>3516</v>
      </c>
      <c r="K92" s="131" t="s">
        <v>262</v>
      </c>
      <c r="L92" s="87"/>
      <c r="M92" s="132" t="s">
        <v>1395</v>
      </c>
      <c r="N92" s="87">
        <v>4</v>
      </c>
      <c r="O92" s="133"/>
      <c r="P92" s="133">
        <v>21.78</v>
      </c>
      <c r="Q92" s="135">
        <f>data[[#This Row],[Costo Producto
Proveedor ($/Unid)]]*data[[#This Row],[Cantidad]]</f>
        <v>0</v>
      </c>
      <c r="R92" s="135">
        <f>data[[#This Row],[Cantidad]]*data[[#This Row],[Precio de Venta Cliente ($/Unid)]]</f>
        <v>87.12</v>
      </c>
      <c r="S92" s="136"/>
      <c r="T92" s="87" t="s">
        <v>73</v>
      </c>
      <c r="U92" s="87"/>
      <c r="V92" s="137" t="s">
        <v>46</v>
      </c>
      <c r="W92" s="139" t="s">
        <v>46</v>
      </c>
      <c r="X92" s="87" t="s">
        <v>23</v>
      </c>
      <c r="Y92" s="87" t="s">
        <v>23</v>
      </c>
      <c r="Z92" s="87" t="s">
        <v>41</v>
      </c>
      <c r="AA92" s="87"/>
    </row>
    <row r="93" spans="2:27" x14ac:dyDescent="0.25">
      <c r="B93" s="130"/>
      <c r="C93" s="130" t="str">
        <f>TEXT(data[[#This Row],[Fecha de Envío
Cotización]],"MMMM")</f>
        <v>mayo</v>
      </c>
      <c r="D93" s="130">
        <v>44326</v>
      </c>
      <c r="E93" s="174" t="str">
        <f>IF(data[[#This Row],[Estatus de 
Cotización]]="PERDIDO","N/A","")</f>
        <v/>
      </c>
      <c r="F93" s="130"/>
      <c r="G93" s="86"/>
      <c r="H93" s="130"/>
      <c r="I93" s="86">
        <v>5115951</v>
      </c>
      <c r="J93" s="87">
        <v>3516</v>
      </c>
      <c r="K93" s="131" t="s">
        <v>262</v>
      </c>
      <c r="L93" s="87"/>
      <c r="M93" s="132" t="s">
        <v>1396</v>
      </c>
      <c r="N93" s="87">
        <v>10</v>
      </c>
      <c r="O93" s="133"/>
      <c r="P93" s="133">
        <v>5.81</v>
      </c>
      <c r="Q93" s="135">
        <f>data[[#This Row],[Costo Producto
Proveedor ($/Unid)]]*data[[#This Row],[Cantidad]]</f>
        <v>0</v>
      </c>
      <c r="R93" s="135">
        <f>data[[#This Row],[Cantidad]]*data[[#This Row],[Precio de Venta Cliente ($/Unid)]]</f>
        <v>58.099999999999994</v>
      </c>
      <c r="S93" s="136"/>
      <c r="T93" s="87" t="s">
        <v>73</v>
      </c>
      <c r="U93" s="87"/>
      <c r="V93" s="137" t="s">
        <v>46</v>
      </c>
      <c r="W93" s="139" t="s">
        <v>46</v>
      </c>
      <c r="X93" s="87" t="s">
        <v>23</v>
      </c>
      <c r="Y93" s="87" t="s">
        <v>23</v>
      </c>
      <c r="Z93" s="87" t="s">
        <v>41</v>
      </c>
      <c r="AA93" s="87"/>
    </row>
    <row r="94" spans="2:27" x14ac:dyDescent="0.25">
      <c r="B94" s="130"/>
      <c r="C94" s="130" t="str">
        <f>TEXT(data[[#This Row],[Fecha de Envío
Cotización]],"MMMM")</f>
        <v>mayo</v>
      </c>
      <c r="D94" s="130">
        <v>44326</v>
      </c>
      <c r="E94" s="174" t="str">
        <f>IF(data[[#This Row],[Estatus de 
Cotización]]="PERDIDO","N/A","")</f>
        <v/>
      </c>
      <c r="F94" s="130"/>
      <c r="G94" s="86"/>
      <c r="H94" s="130"/>
      <c r="I94" s="86">
        <v>5115952</v>
      </c>
      <c r="J94" s="87">
        <v>3517</v>
      </c>
      <c r="K94" s="131" t="s">
        <v>475</v>
      </c>
      <c r="L94" s="87"/>
      <c r="M94" s="132" t="s">
        <v>1397</v>
      </c>
      <c r="N94" s="87">
        <v>30</v>
      </c>
      <c r="O94" s="133"/>
      <c r="P94" s="133">
        <v>24.55</v>
      </c>
      <c r="Q94" s="135">
        <f>data[[#This Row],[Costo Producto
Proveedor ($/Unid)]]*data[[#This Row],[Cantidad]]</f>
        <v>0</v>
      </c>
      <c r="R94" s="135">
        <f>data[[#This Row],[Cantidad]]*data[[#This Row],[Precio de Venta Cliente ($/Unid)]]</f>
        <v>736.5</v>
      </c>
      <c r="S94" s="136"/>
      <c r="T94" s="87" t="s">
        <v>73</v>
      </c>
      <c r="U94" s="87"/>
      <c r="V94" s="137" t="s">
        <v>46</v>
      </c>
      <c r="W94" s="139" t="s">
        <v>46</v>
      </c>
      <c r="X94" s="87" t="s">
        <v>23</v>
      </c>
      <c r="Y94" s="87" t="s">
        <v>23</v>
      </c>
      <c r="Z94" s="87" t="s">
        <v>41</v>
      </c>
      <c r="AA94" s="87"/>
    </row>
    <row r="95" spans="2:27" x14ac:dyDescent="0.25">
      <c r="B95" s="130"/>
      <c r="C95" s="130" t="str">
        <f>TEXT(data[[#This Row],[Fecha de Envío
Cotización]],"MMMM")</f>
        <v>mayo</v>
      </c>
      <c r="D95" s="130">
        <v>44326</v>
      </c>
      <c r="E95" s="174" t="str">
        <f>IF(data[[#This Row],[Estatus de 
Cotización]]="PERDIDO","N/A","")</f>
        <v/>
      </c>
      <c r="F95" s="130"/>
      <c r="G95" s="86"/>
      <c r="H95" s="130"/>
      <c r="I95" s="86">
        <v>5115953</v>
      </c>
      <c r="J95" s="87">
        <v>3518</v>
      </c>
      <c r="K95" s="131" t="s">
        <v>243</v>
      </c>
      <c r="L95" s="87"/>
      <c r="M95" s="132" t="s">
        <v>1398</v>
      </c>
      <c r="N95" s="87">
        <v>2</v>
      </c>
      <c r="O95" s="133"/>
      <c r="P95" s="133">
        <v>805.29</v>
      </c>
      <c r="Q95" s="135">
        <f>data[[#This Row],[Costo Producto
Proveedor ($/Unid)]]*data[[#This Row],[Cantidad]]</f>
        <v>0</v>
      </c>
      <c r="R95" s="135">
        <f>data[[#This Row],[Cantidad]]*data[[#This Row],[Precio de Venta Cliente ($/Unid)]]</f>
        <v>1610.58</v>
      </c>
      <c r="S95" s="136"/>
      <c r="T95" s="87" t="s">
        <v>73</v>
      </c>
      <c r="U95" s="87"/>
      <c r="V95" s="137" t="s">
        <v>46</v>
      </c>
      <c r="W95" s="139" t="s">
        <v>46</v>
      </c>
      <c r="X95" s="87" t="s">
        <v>23</v>
      </c>
      <c r="Y95" s="87" t="s">
        <v>23</v>
      </c>
      <c r="Z95" s="87" t="s">
        <v>41</v>
      </c>
      <c r="AA95" s="87"/>
    </row>
    <row r="96" spans="2:27" x14ac:dyDescent="0.25">
      <c r="B96" s="130"/>
      <c r="C96" s="130" t="str">
        <f>TEXT(data[[#This Row],[Fecha de Envío
Cotización]],"MMMM")</f>
        <v>mayo</v>
      </c>
      <c r="D96" s="130">
        <v>44327</v>
      </c>
      <c r="E96" s="130">
        <v>44328</v>
      </c>
      <c r="F96" s="130">
        <v>44337</v>
      </c>
      <c r="G96" s="86">
        <v>7331524616</v>
      </c>
      <c r="H96" s="130">
        <v>44328</v>
      </c>
      <c r="I96" s="86">
        <v>5115967</v>
      </c>
      <c r="J96" s="87">
        <v>3519</v>
      </c>
      <c r="K96" s="89" t="s">
        <v>76</v>
      </c>
      <c r="L96" s="87"/>
      <c r="M96" s="132" t="s">
        <v>1421</v>
      </c>
      <c r="N96" s="87">
        <v>1</v>
      </c>
      <c r="O96" s="133"/>
      <c r="P96" s="134">
        <v>54.5</v>
      </c>
      <c r="Q96" s="135">
        <f>data[[#This Row],[Costo Producto
Proveedor ($/Unid)]]*data[[#This Row],[Cantidad]]</f>
        <v>0</v>
      </c>
      <c r="R96" s="135">
        <f>data[[#This Row],[Cantidad]]*data[[#This Row],[Precio de Venta Cliente ($/Unid)]]</f>
        <v>54.5</v>
      </c>
      <c r="S96" s="136"/>
      <c r="T96" s="86" t="s">
        <v>73</v>
      </c>
      <c r="U96" s="86"/>
      <c r="V96" s="137" t="s">
        <v>44</v>
      </c>
      <c r="W96" s="139" t="s">
        <v>44</v>
      </c>
      <c r="X96" s="87" t="s">
        <v>45</v>
      </c>
      <c r="Y96" s="87" t="s">
        <v>47</v>
      </c>
      <c r="Z96" s="87" t="s">
        <v>41</v>
      </c>
      <c r="AA96" s="86"/>
    </row>
    <row r="97" spans="2:27" s="105" customFormat="1" x14ac:dyDescent="0.25">
      <c r="B97" s="130"/>
      <c r="C97" s="130" t="str">
        <f>TEXT(data[[#This Row],[Fecha de Envío
Cotización]],"MMMM")</f>
        <v>mayo</v>
      </c>
      <c r="D97" s="144">
        <v>44333</v>
      </c>
      <c r="E97" s="130">
        <v>44336</v>
      </c>
      <c r="F97" s="130">
        <v>44358</v>
      </c>
      <c r="G97" s="86">
        <v>4501495642</v>
      </c>
      <c r="H97" s="130">
        <v>44336</v>
      </c>
      <c r="I97" s="86">
        <v>511510014</v>
      </c>
      <c r="J97" s="87">
        <v>3521</v>
      </c>
      <c r="K97" s="89" t="s">
        <v>76</v>
      </c>
      <c r="L97" s="87"/>
      <c r="M97" s="132" t="s">
        <v>1480</v>
      </c>
      <c r="N97" s="87">
        <v>2</v>
      </c>
      <c r="O97" s="133"/>
      <c r="P97" s="134">
        <v>169.23</v>
      </c>
      <c r="Q97" s="135">
        <f>data[[#This Row],[Costo Producto
Proveedor ($/Unid)]]*data[[#This Row],[Cantidad]]</f>
        <v>0</v>
      </c>
      <c r="R97" s="135">
        <f>data[[#This Row],[Cantidad]]*data[[#This Row],[Precio de Venta Cliente ($/Unid)]]</f>
        <v>338.46</v>
      </c>
      <c r="S97" s="136"/>
      <c r="T97" s="86" t="s">
        <v>73</v>
      </c>
      <c r="U97" s="86"/>
      <c r="V97" s="137" t="s">
        <v>44</v>
      </c>
      <c r="W97" s="139" t="s">
        <v>44</v>
      </c>
      <c r="X97" s="87" t="s">
        <v>503</v>
      </c>
      <c r="Y97" s="87" t="s">
        <v>503</v>
      </c>
      <c r="Z97" s="87" t="s">
        <v>41</v>
      </c>
      <c r="AA97" s="86" t="s">
        <v>1520</v>
      </c>
    </row>
    <row r="98" spans="2:27" s="105" customFormat="1" x14ac:dyDescent="0.25">
      <c r="B98" s="130"/>
      <c r="C98" s="130" t="str">
        <f>TEXT(data[[#This Row],[Fecha de Envío
Cotización]],"MMMM")</f>
        <v>mayo</v>
      </c>
      <c r="D98" s="144">
        <v>44334</v>
      </c>
      <c r="E98" s="130" t="str">
        <f>IF(data[[#This Row],[Estatus de 
Cotización]]="PERDIDO","N/A","")</f>
        <v>N/A</v>
      </c>
      <c r="F98" s="130"/>
      <c r="G98" s="86"/>
      <c r="H98" s="130"/>
      <c r="I98" s="86">
        <v>3151515</v>
      </c>
      <c r="J98" s="87">
        <v>509</v>
      </c>
      <c r="K98" s="89" t="s">
        <v>1558</v>
      </c>
      <c r="L98" s="87"/>
      <c r="M98" s="132" t="s">
        <v>1559</v>
      </c>
      <c r="N98" s="87">
        <v>4</v>
      </c>
      <c r="O98" s="133"/>
      <c r="P98" s="134">
        <v>688.09</v>
      </c>
      <c r="Q98" s="135">
        <f>data[[#This Row],[Costo Producto
Proveedor ($/Unid)]]*data[[#This Row],[Cantidad]]</f>
        <v>0</v>
      </c>
      <c r="R98" s="135">
        <f>data[[#This Row],[Cantidad]]*data[[#This Row],[Precio de Venta Cliente ($/Unid)]]</f>
        <v>2752.36</v>
      </c>
      <c r="S98" s="136"/>
      <c r="T98" s="86" t="s">
        <v>119</v>
      </c>
      <c r="U98" s="86"/>
      <c r="V98" s="137" t="s">
        <v>42</v>
      </c>
      <c r="W98" s="139" t="s">
        <v>42</v>
      </c>
      <c r="X98" s="87" t="s">
        <v>23</v>
      </c>
      <c r="Y98" s="87" t="s">
        <v>23</v>
      </c>
      <c r="Z98" s="87" t="s">
        <v>41</v>
      </c>
      <c r="AA98" s="86"/>
    </row>
    <row r="99" spans="2:27" s="105" customFormat="1" x14ac:dyDescent="0.25">
      <c r="B99" s="130"/>
      <c r="C99" s="130" t="str">
        <f>TEXT(data[[#This Row],[Fecha de Envío
Cotización]],"MMMM")</f>
        <v>mayo</v>
      </c>
      <c r="D99" s="144">
        <v>44335</v>
      </c>
      <c r="E99" s="174" t="str">
        <f>IF(data[[#This Row],[Estatus de 
Cotización]]="PERDIDO","N/A","")</f>
        <v>N/A</v>
      </c>
      <c r="F99" s="130"/>
      <c r="G99" s="86"/>
      <c r="H99" s="130"/>
      <c r="I99" s="86"/>
      <c r="J99" s="87">
        <v>3523</v>
      </c>
      <c r="K99" s="89" t="s">
        <v>1558</v>
      </c>
      <c r="L99" s="87"/>
      <c r="M99" s="132" t="s">
        <v>1572</v>
      </c>
      <c r="N99" s="87">
        <v>3</v>
      </c>
      <c r="O99" s="133"/>
      <c r="P99" s="134">
        <v>70.209999999999994</v>
      </c>
      <c r="Q99" s="135">
        <f>data[[#This Row],[Costo Producto
Proveedor ($/Unid)]]*data[[#This Row],[Cantidad]]</f>
        <v>0</v>
      </c>
      <c r="R99" s="135">
        <f>data[[#This Row],[Cantidad]]*data[[#This Row],[Precio de Venta Cliente ($/Unid)]]</f>
        <v>210.63</v>
      </c>
      <c r="S99" s="136"/>
      <c r="T99" s="86" t="s">
        <v>1571</v>
      </c>
      <c r="U99" s="86"/>
      <c r="V99" s="137" t="s">
        <v>42</v>
      </c>
      <c r="W99" s="139" t="s">
        <v>42</v>
      </c>
      <c r="X99" s="87" t="s">
        <v>23</v>
      </c>
      <c r="Y99" s="87" t="s">
        <v>23</v>
      </c>
      <c r="Z99" s="87" t="s">
        <v>41</v>
      </c>
      <c r="AA99" s="86"/>
    </row>
    <row r="100" spans="2:27" s="105" customFormat="1" x14ac:dyDescent="0.25">
      <c r="B100" s="130"/>
      <c r="C100" s="130" t="str">
        <f>TEXT(data[[#This Row],[Fecha de Envío
Cotización]],"MMMM")</f>
        <v>mayo</v>
      </c>
      <c r="D100" s="144">
        <v>44335</v>
      </c>
      <c r="E100" s="174" t="str">
        <f>IF(data[[#This Row],[Estatus de 
Cotización]]="PERDIDO","N/A","")</f>
        <v>N/A</v>
      </c>
      <c r="F100" s="130"/>
      <c r="G100" s="86"/>
      <c r="H100" s="130"/>
      <c r="I100" s="86"/>
      <c r="J100" s="87">
        <v>3523</v>
      </c>
      <c r="K100" s="89" t="s">
        <v>1558</v>
      </c>
      <c r="L100" s="87"/>
      <c r="M100" s="132" t="s">
        <v>1573</v>
      </c>
      <c r="N100" s="87">
        <v>8</v>
      </c>
      <c r="O100" s="133"/>
      <c r="P100" s="134">
        <v>56.17</v>
      </c>
      <c r="Q100" s="135">
        <f>data[[#This Row],[Costo Producto
Proveedor ($/Unid)]]*data[[#This Row],[Cantidad]]</f>
        <v>0</v>
      </c>
      <c r="R100" s="135">
        <f>data[[#This Row],[Cantidad]]*data[[#This Row],[Precio de Venta Cliente ($/Unid)]]</f>
        <v>449.36</v>
      </c>
      <c r="S100" s="136"/>
      <c r="T100" s="86" t="s">
        <v>1571</v>
      </c>
      <c r="U100" s="86"/>
      <c r="V100" s="137" t="s">
        <v>42</v>
      </c>
      <c r="W100" s="139" t="s">
        <v>42</v>
      </c>
      <c r="X100" s="87" t="s">
        <v>23</v>
      </c>
      <c r="Y100" s="87" t="s">
        <v>23</v>
      </c>
      <c r="Z100" s="87" t="s">
        <v>41</v>
      </c>
      <c r="AA100" s="86"/>
    </row>
    <row r="101" spans="2:27" s="105" customFormat="1" x14ac:dyDescent="0.25">
      <c r="B101" s="130"/>
      <c r="C101" s="130" t="str">
        <f>TEXT(data[[#This Row],[Fecha de Envío
Cotización]],"MMMM")</f>
        <v>mayo</v>
      </c>
      <c r="D101" s="144">
        <v>44335</v>
      </c>
      <c r="E101" s="174" t="str">
        <f>IF(data[[#This Row],[Estatus de 
Cotización]]="PERDIDO","N/A","")</f>
        <v>N/A</v>
      </c>
      <c r="F101" s="130"/>
      <c r="G101" s="86"/>
      <c r="H101" s="130"/>
      <c r="I101" s="86"/>
      <c r="J101" s="87">
        <v>3523</v>
      </c>
      <c r="K101" s="89" t="s">
        <v>1558</v>
      </c>
      <c r="L101" s="87"/>
      <c r="M101" s="132" t="s">
        <v>1574</v>
      </c>
      <c r="N101" s="87">
        <v>11</v>
      </c>
      <c r="O101" s="133"/>
      <c r="P101" s="134">
        <v>56.17</v>
      </c>
      <c r="Q101" s="135">
        <f>data[[#This Row],[Costo Producto
Proveedor ($/Unid)]]*data[[#This Row],[Cantidad]]</f>
        <v>0</v>
      </c>
      <c r="R101" s="135">
        <f>data[[#This Row],[Cantidad]]*data[[#This Row],[Precio de Venta Cliente ($/Unid)]]</f>
        <v>617.87</v>
      </c>
      <c r="S101" s="136"/>
      <c r="T101" s="86" t="s">
        <v>1571</v>
      </c>
      <c r="U101" s="86"/>
      <c r="V101" s="137" t="s">
        <v>42</v>
      </c>
      <c r="W101" s="139" t="s">
        <v>42</v>
      </c>
      <c r="X101" s="87" t="s">
        <v>23</v>
      </c>
      <c r="Y101" s="87" t="s">
        <v>23</v>
      </c>
      <c r="Z101" s="87" t="s">
        <v>41</v>
      </c>
      <c r="AA101" s="86"/>
    </row>
    <row r="102" spans="2:27" s="105" customFormat="1" x14ac:dyDescent="0.25">
      <c r="B102" s="130"/>
      <c r="C102" s="130" t="str">
        <f>TEXT(data[[#This Row],[Fecha de Envío
Cotización]],"MMMM")</f>
        <v>mayo</v>
      </c>
      <c r="D102" s="144">
        <v>44335</v>
      </c>
      <c r="E102" s="174" t="str">
        <f>IF(data[[#This Row],[Estatus de 
Cotización]]="PERDIDO","N/A","")</f>
        <v>N/A</v>
      </c>
      <c r="F102" s="130"/>
      <c r="G102" s="86"/>
      <c r="H102" s="130"/>
      <c r="I102" s="86"/>
      <c r="J102" s="87">
        <v>3523</v>
      </c>
      <c r="K102" s="89" t="s">
        <v>1558</v>
      </c>
      <c r="L102" s="87"/>
      <c r="M102" s="132" t="s">
        <v>1575</v>
      </c>
      <c r="N102" s="87">
        <v>5</v>
      </c>
      <c r="O102" s="133"/>
      <c r="P102" s="134">
        <v>161.49</v>
      </c>
      <c r="Q102" s="135">
        <f>data[[#This Row],[Costo Producto
Proveedor ($/Unid)]]*data[[#This Row],[Cantidad]]</f>
        <v>0</v>
      </c>
      <c r="R102" s="135">
        <f>data[[#This Row],[Cantidad]]*data[[#This Row],[Precio de Venta Cliente ($/Unid)]]</f>
        <v>807.45</v>
      </c>
      <c r="S102" s="136"/>
      <c r="T102" s="86" t="s">
        <v>1571</v>
      </c>
      <c r="U102" s="86"/>
      <c r="V102" s="137" t="s">
        <v>42</v>
      </c>
      <c r="W102" s="139" t="s">
        <v>42</v>
      </c>
      <c r="X102" s="87" t="s">
        <v>23</v>
      </c>
      <c r="Y102" s="87" t="s">
        <v>23</v>
      </c>
      <c r="Z102" s="87" t="s">
        <v>41</v>
      </c>
      <c r="AA102" s="86"/>
    </row>
    <row r="103" spans="2:27" s="105" customFormat="1" x14ac:dyDescent="0.25">
      <c r="B103" s="130"/>
      <c r="C103" s="130" t="str">
        <f>TEXT(data[[#This Row],[Fecha de Envío
Cotización]],"MMMM")</f>
        <v>mayo</v>
      </c>
      <c r="D103" s="144">
        <v>44335</v>
      </c>
      <c r="E103" s="174" t="str">
        <f>IF(data[[#This Row],[Estatus de 
Cotización]]="PERDIDO","N/A","")</f>
        <v>N/A</v>
      </c>
      <c r="F103" s="130"/>
      <c r="G103" s="86"/>
      <c r="H103" s="130"/>
      <c r="I103" s="86"/>
      <c r="J103" s="87">
        <v>3523</v>
      </c>
      <c r="K103" s="89" t="s">
        <v>1558</v>
      </c>
      <c r="L103" s="87"/>
      <c r="M103" s="132" t="s">
        <v>1576</v>
      </c>
      <c r="N103" s="87">
        <v>9</v>
      </c>
      <c r="O103" s="133"/>
      <c r="P103" s="134">
        <v>182.55</v>
      </c>
      <c r="Q103" s="135">
        <f>data[[#This Row],[Costo Producto
Proveedor ($/Unid)]]*data[[#This Row],[Cantidad]]</f>
        <v>0</v>
      </c>
      <c r="R103" s="135">
        <f>data[[#This Row],[Cantidad]]*data[[#This Row],[Precio de Venta Cliente ($/Unid)]]</f>
        <v>1642.95</v>
      </c>
      <c r="S103" s="136"/>
      <c r="T103" s="86" t="s">
        <v>1571</v>
      </c>
      <c r="U103" s="86"/>
      <c r="V103" s="137" t="s">
        <v>42</v>
      </c>
      <c r="W103" s="139" t="s">
        <v>42</v>
      </c>
      <c r="X103" s="87" t="s">
        <v>23</v>
      </c>
      <c r="Y103" s="87" t="s">
        <v>23</v>
      </c>
      <c r="Z103" s="87" t="s">
        <v>41</v>
      </c>
      <c r="AA103" s="86"/>
    </row>
    <row r="104" spans="2:27" s="105" customFormat="1" x14ac:dyDescent="0.25">
      <c r="B104" s="130"/>
      <c r="C104" s="130" t="str">
        <f>TEXT(data[[#This Row],[Fecha de Envío
Cotización]],"MMMM")</f>
        <v>mayo</v>
      </c>
      <c r="D104" s="144">
        <v>44335</v>
      </c>
      <c r="E104" s="174" t="str">
        <f>IF(data[[#This Row],[Estatus de 
Cotización]]="PERDIDO","N/A","")</f>
        <v>N/A</v>
      </c>
      <c r="F104" s="130"/>
      <c r="G104" s="86"/>
      <c r="H104" s="130"/>
      <c r="I104" s="86"/>
      <c r="J104" s="87">
        <v>3523</v>
      </c>
      <c r="K104" s="89" t="s">
        <v>1558</v>
      </c>
      <c r="L104" s="87"/>
      <c r="M104" s="132" t="s">
        <v>1577</v>
      </c>
      <c r="N104" s="87">
        <v>8</v>
      </c>
      <c r="O104" s="133"/>
      <c r="P104" s="134">
        <v>140.43</v>
      </c>
      <c r="Q104" s="135">
        <f>data[[#This Row],[Costo Producto
Proveedor ($/Unid)]]*data[[#This Row],[Cantidad]]</f>
        <v>0</v>
      </c>
      <c r="R104" s="135">
        <f>data[[#This Row],[Cantidad]]*data[[#This Row],[Precio de Venta Cliente ($/Unid)]]</f>
        <v>1123.44</v>
      </c>
      <c r="S104" s="136"/>
      <c r="T104" s="86" t="s">
        <v>1571</v>
      </c>
      <c r="U104" s="86"/>
      <c r="V104" s="137" t="s">
        <v>42</v>
      </c>
      <c r="W104" s="139" t="s">
        <v>42</v>
      </c>
      <c r="X104" s="87" t="s">
        <v>23</v>
      </c>
      <c r="Y104" s="87" t="s">
        <v>23</v>
      </c>
      <c r="Z104" s="87" t="s">
        <v>41</v>
      </c>
      <c r="AA104" s="86"/>
    </row>
    <row r="105" spans="2:27" s="105" customFormat="1" x14ac:dyDescent="0.25">
      <c r="B105" s="130"/>
      <c r="C105" s="130" t="str">
        <f>TEXT(data[[#This Row],[Fecha de Envío
Cotización]],"MMMM")</f>
        <v>mayo</v>
      </c>
      <c r="D105" s="144">
        <v>44335</v>
      </c>
      <c r="E105" s="174" t="str">
        <f>IF(data[[#This Row],[Estatus de 
Cotización]]="PERDIDO","N/A","")</f>
        <v>N/A</v>
      </c>
      <c r="F105" s="130"/>
      <c r="G105" s="86"/>
      <c r="H105" s="130"/>
      <c r="I105" s="86"/>
      <c r="J105" s="87">
        <v>3523</v>
      </c>
      <c r="K105" s="89" t="s">
        <v>1558</v>
      </c>
      <c r="L105" s="87"/>
      <c r="M105" s="132" t="s">
        <v>1578</v>
      </c>
      <c r="N105" s="87">
        <v>2</v>
      </c>
      <c r="O105" s="133"/>
      <c r="P105" s="134">
        <v>56.17</v>
      </c>
      <c r="Q105" s="135">
        <f>data[[#This Row],[Costo Producto
Proveedor ($/Unid)]]*data[[#This Row],[Cantidad]]</f>
        <v>0</v>
      </c>
      <c r="R105" s="135">
        <f>data[[#This Row],[Cantidad]]*data[[#This Row],[Precio de Venta Cliente ($/Unid)]]</f>
        <v>112.34</v>
      </c>
      <c r="S105" s="136"/>
      <c r="T105" s="86" t="s">
        <v>1571</v>
      </c>
      <c r="U105" s="86"/>
      <c r="V105" s="137" t="s">
        <v>42</v>
      </c>
      <c r="W105" s="139" t="s">
        <v>42</v>
      </c>
      <c r="X105" s="87" t="s">
        <v>23</v>
      </c>
      <c r="Y105" s="87" t="s">
        <v>23</v>
      </c>
      <c r="Z105" s="87" t="s">
        <v>41</v>
      </c>
      <c r="AA105" s="86"/>
    </row>
    <row r="106" spans="2:27" s="105" customFormat="1" x14ac:dyDescent="0.25">
      <c r="B106" s="130"/>
      <c r="C106" s="130" t="str">
        <f>TEXT(data[[#This Row],[Fecha de Envío
Cotización]],"MMMM")</f>
        <v>mayo</v>
      </c>
      <c r="D106" s="144">
        <v>44335</v>
      </c>
      <c r="E106" s="174" t="str">
        <f>IF(data[[#This Row],[Estatus de 
Cotización]]="PERDIDO","N/A","")</f>
        <v>N/A</v>
      </c>
      <c r="F106" s="130"/>
      <c r="G106" s="86"/>
      <c r="H106" s="130"/>
      <c r="I106" s="86"/>
      <c r="J106" s="87">
        <v>3523</v>
      </c>
      <c r="K106" s="89" t="s">
        <v>1558</v>
      </c>
      <c r="L106" s="87"/>
      <c r="M106" s="132" t="s">
        <v>1579</v>
      </c>
      <c r="N106" s="87">
        <v>1</v>
      </c>
      <c r="O106" s="133"/>
      <c r="P106" s="134">
        <v>196.6</v>
      </c>
      <c r="Q106" s="135">
        <f>data[[#This Row],[Costo Producto
Proveedor ($/Unid)]]*data[[#This Row],[Cantidad]]</f>
        <v>0</v>
      </c>
      <c r="R106" s="135">
        <f>data[[#This Row],[Cantidad]]*data[[#This Row],[Precio de Venta Cliente ($/Unid)]]</f>
        <v>196.6</v>
      </c>
      <c r="S106" s="136"/>
      <c r="T106" s="86" t="s">
        <v>1571</v>
      </c>
      <c r="U106" s="86"/>
      <c r="V106" s="137" t="s">
        <v>42</v>
      </c>
      <c r="W106" s="139" t="s">
        <v>42</v>
      </c>
      <c r="X106" s="87" t="s">
        <v>23</v>
      </c>
      <c r="Y106" s="87" t="s">
        <v>23</v>
      </c>
      <c r="Z106" s="87" t="s">
        <v>41</v>
      </c>
      <c r="AA106" s="86"/>
    </row>
    <row r="107" spans="2:27" s="105" customFormat="1" x14ac:dyDescent="0.25">
      <c r="B107" s="130"/>
      <c r="C107" s="130" t="str">
        <f>TEXT(data[[#This Row],[Fecha de Envío
Cotización]],"MMMM")</f>
        <v>mayo</v>
      </c>
      <c r="D107" s="144">
        <v>44335</v>
      </c>
      <c r="E107" s="174" t="str">
        <f>IF(data[[#This Row],[Estatus de 
Cotización]]="PERDIDO","N/A","")</f>
        <v>N/A</v>
      </c>
      <c r="F107" s="130"/>
      <c r="G107" s="86"/>
      <c r="H107" s="130"/>
      <c r="I107" s="86"/>
      <c r="J107" s="87">
        <v>3523</v>
      </c>
      <c r="K107" s="89" t="s">
        <v>1558</v>
      </c>
      <c r="L107" s="87"/>
      <c r="M107" s="132" t="s">
        <v>1580</v>
      </c>
      <c r="N107" s="87">
        <v>1</v>
      </c>
      <c r="O107" s="133"/>
      <c r="P107" s="134">
        <v>133.4</v>
      </c>
      <c r="Q107" s="135">
        <f>data[[#This Row],[Costo Producto
Proveedor ($/Unid)]]*data[[#This Row],[Cantidad]]</f>
        <v>0</v>
      </c>
      <c r="R107" s="135">
        <f>data[[#This Row],[Cantidad]]*data[[#This Row],[Precio de Venta Cliente ($/Unid)]]</f>
        <v>133.4</v>
      </c>
      <c r="S107" s="136"/>
      <c r="T107" s="86" t="s">
        <v>1571</v>
      </c>
      <c r="U107" s="86"/>
      <c r="V107" s="137" t="s">
        <v>42</v>
      </c>
      <c r="W107" s="139" t="s">
        <v>42</v>
      </c>
      <c r="X107" s="87" t="s">
        <v>23</v>
      </c>
      <c r="Y107" s="87" t="s">
        <v>23</v>
      </c>
      <c r="Z107" s="87" t="s">
        <v>41</v>
      </c>
      <c r="AA107" s="86"/>
    </row>
    <row r="108" spans="2:27" s="105" customFormat="1" x14ac:dyDescent="0.25">
      <c r="B108" s="130"/>
      <c r="C108" s="130" t="str">
        <f>TEXT(data[[#This Row],[Fecha de Envío
Cotización]],"MMMM")</f>
        <v>mayo</v>
      </c>
      <c r="D108" s="144">
        <v>44335</v>
      </c>
      <c r="E108" s="174" t="str">
        <f>IF(data[[#This Row],[Estatus de 
Cotización]]="PERDIDO","N/A","")</f>
        <v>N/A</v>
      </c>
      <c r="F108" s="130"/>
      <c r="G108" s="86"/>
      <c r="H108" s="130"/>
      <c r="I108" s="86"/>
      <c r="J108" s="87">
        <v>3523</v>
      </c>
      <c r="K108" s="89" t="s">
        <v>1558</v>
      </c>
      <c r="L108" s="87"/>
      <c r="M108" s="132" t="s">
        <v>1581</v>
      </c>
      <c r="N108" s="87">
        <v>1</v>
      </c>
      <c r="O108" s="133"/>
      <c r="P108" s="134">
        <v>49.15</v>
      </c>
      <c r="Q108" s="135">
        <f>data[[#This Row],[Costo Producto
Proveedor ($/Unid)]]*data[[#This Row],[Cantidad]]</f>
        <v>0</v>
      </c>
      <c r="R108" s="135">
        <f>data[[#This Row],[Cantidad]]*data[[#This Row],[Precio de Venta Cliente ($/Unid)]]</f>
        <v>49.15</v>
      </c>
      <c r="S108" s="136"/>
      <c r="T108" s="86" t="s">
        <v>1571</v>
      </c>
      <c r="U108" s="86"/>
      <c r="V108" s="137" t="s">
        <v>42</v>
      </c>
      <c r="W108" s="139" t="s">
        <v>42</v>
      </c>
      <c r="X108" s="87" t="s">
        <v>23</v>
      </c>
      <c r="Y108" s="87" t="s">
        <v>23</v>
      </c>
      <c r="Z108" s="87" t="s">
        <v>41</v>
      </c>
      <c r="AA108" s="86"/>
    </row>
    <row r="109" spans="2:27" s="105" customFormat="1" x14ac:dyDescent="0.25">
      <c r="B109" s="130"/>
      <c r="C109" s="130" t="str">
        <f>TEXT(data[[#This Row],[Fecha de Envío
Cotización]],"MMMM")</f>
        <v>mayo</v>
      </c>
      <c r="D109" s="144">
        <v>44335</v>
      </c>
      <c r="E109" s="174" t="str">
        <f>IF(data[[#This Row],[Estatus de 
Cotización]]="PERDIDO","N/A","")</f>
        <v>N/A</v>
      </c>
      <c r="F109" s="130"/>
      <c r="G109" s="86"/>
      <c r="H109" s="130"/>
      <c r="I109" s="86"/>
      <c r="J109" s="87">
        <v>3523</v>
      </c>
      <c r="K109" s="89" t="s">
        <v>1558</v>
      </c>
      <c r="L109" s="87"/>
      <c r="M109" s="132" t="s">
        <v>1583</v>
      </c>
      <c r="N109" s="87">
        <v>2</v>
      </c>
      <c r="O109" s="133"/>
      <c r="P109" s="134">
        <v>196.6</v>
      </c>
      <c r="Q109" s="135">
        <f>data[[#This Row],[Costo Producto
Proveedor ($/Unid)]]*data[[#This Row],[Cantidad]]</f>
        <v>0</v>
      </c>
      <c r="R109" s="135">
        <f>data[[#This Row],[Cantidad]]*data[[#This Row],[Precio de Venta Cliente ($/Unid)]]</f>
        <v>393.2</v>
      </c>
      <c r="S109" s="136"/>
      <c r="T109" s="86" t="s">
        <v>1571</v>
      </c>
      <c r="U109" s="86"/>
      <c r="V109" s="137" t="s">
        <v>42</v>
      </c>
      <c r="W109" s="139" t="s">
        <v>42</v>
      </c>
      <c r="X109" s="87" t="s">
        <v>23</v>
      </c>
      <c r="Y109" s="87" t="s">
        <v>23</v>
      </c>
      <c r="Z109" s="87" t="s">
        <v>41</v>
      </c>
      <c r="AA109" s="86"/>
    </row>
    <row r="110" spans="2:27" s="105" customFormat="1" x14ac:dyDescent="0.25">
      <c r="B110" s="130"/>
      <c r="C110" s="130" t="str">
        <f>TEXT(data[[#This Row],[Fecha de Envío
Cotización]],"MMMM")</f>
        <v>mayo</v>
      </c>
      <c r="D110" s="144">
        <v>44335</v>
      </c>
      <c r="E110" s="174" t="str">
        <f>IF(data[[#This Row],[Estatus de 
Cotización]]="PERDIDO","N/A","")</f>
        <v>N/A</v>
      </c>
      <c r="F110" s="130"/>
      <c r="G110" s="86"/>
      <c r="H110" s="130"/>
      <c r="I110" s="86"/>
      <c r="J110" s="87">
        <v>3523</v>
      </c>
      <c r="K110" s="89" t="s">
        <v>1558</v>
      </c>
      <c r="L110" s="87"/>
      <c r="M110" s="132" t="s">
        <v>1582</v>
      </c>
      <c r="N110" s="87">
        <v>2</v>
      </c>
      <c r="O110" s="133"/>
      <c r="P110" s="134">
        <v>280.85000000000002</v>
      </c>
      <c r="Q110" s="135">
        <f>data[[#This Row],[Costo Producto
Proveedor ($/Unid)]]*data[[#This Row],[Cantidad]]</f>
        <v>0</v>
      </c>
      <c r="R110" s="135">
        <f>data[[#This Row],[Cantidad]]*data[[#This Row],[Precio de Venta Cliente ($/Unid)]]</f>
        <v>561.70000000000005</v>
      </c>
      <c r="S110" s="136"/>
      <c r="T110" s="86" t="s">
        <v>1571</v>
      </c>
      <c r="U110" s="86"/>
      <c r="V110" s="137" t="s">
        <v>42</v>
      </c>
      <c r="W110" s="139" t="s">
        <v>42</v>
      </c>
      <c r="X110" s="87" t="s">
        <v>23</v>
      </c>
      <c r="Y110" s="87" t="s">
        <v>23</v>
      </c>
      <c r="Z110" s="87" t="s">
        <v>41</v>
      </c>
      <c r="AA110" s="86"/>
    </row>
    <row r="111" spans="2:27" s="105" customFormat="1" x14ac:dyDescent="0.25">
      <c r="B111" s="130"/>
      <c r="C111" s="130" t="str">
        <f>TEXT(data[[#This Row],[Fecha de Envío
Cotización]],"MMMM")</f>
        <v>mayo</v>
      </c>
      <c r="D111" s="144">
        <v>44335</v>
      </c>
      <c r="E111" s="174" t="str">
        <f>IF(data[[#This Row],[Estatus de 
Cotización]]="PERDIDO","N/A","")</f>
        <v>N/A</v>
      </c>
      <c r="F111" s="130"/>
      <c r="G111" s="86"/>
      <c r="H111" s="130"/>
      <c r="I111" s="86"/>
      <c r="J111" s="87">
        <v>3523</v>
      </c>
      <c r="K111" s="89" t="s">
        <v>1558</v>
      </c>
      <c r="L111" s="87"/>
      <c r="M111" s="132" t="s">
        <v>1584</v>
      </c>
      <c r="N111" s="87">
        <v>3</v>
      </c>
      <c r="O111" s="133"/>
      <c r="P111" s="134">
        <v>351.06</v>
      </c>
      <c r="Q111" s="135">
        <f>data[[#This Row],[Costo Producto
Proveedor ($/Unid)]]*data[[#This Row],[Cantidad]]</f>
        <v>0</v>
      </c>
      <c r="R111" s="135">
        <f>data[[#This Row],[Cantidad]]*data[[#This Row],[Precio de Venta Cliente ($/Unid)]]</f>
        <v>1053.18</v>
      </c>
      <c r="S111" s="136"/>
      <c r="T111" s="86" t="s">
        <v>1571</v>
      </c>
      <c r="U111" s="86"/>
      <c r="V111" s="137" t="s">
        <v>42</v>
      </c>
      <c r="W111" s="139" t="s">
        <v>42</v>
      </c>
      <c r="X111" s="87" t="s">
        <v>23</v>
      </c>
      <c r="Y111" s="87" t="s">
        <v>23</v>
      </c>
      <c r="Z111" s="87" t="s">
        <v>41</v>
      </c>
      <c r="AA111" s="86"/>
    </row>
    <row r="112" spans="2:27" s="105" customFormat="1" x14ac:dyDescent="0.25">
      <c r="B112" s="130"/>
      <c r="C112" s="130" t="str">
        <f>TEXT(data[[#This Row],[Fecha de Envío
Cotización]],"MMMM")</f>
        <v>mayo</v>
      </c>
      <c r="D112" s="144">
        <v>44335</v>
      </c>
      <c r="E112" s="174" t="str">
        <f>IF(data[[#This Row],[Estatus de 
Cotización]]="PERDIDO","N/A","")</f>
        <v>N/A</v>
      </c>
      <c r="F112" s="130"/>
      <c r="G112" s="86"/>
      <c r="H112" s="130"/>
      <c r="I112" s="86"/>
      <c r="J112" s="87">
        <v>3523</v>
      </c>
      <c r="K112" s="89" t="s">
        <v>1558</v>
      </c>
      <c r="L112" s="87"/>
      <c r="M112" s="132" t="s">
        <v>1585</v>
      </c>
      <c r="N112" s="87">
        <v>3</v>
      </c>
      <c r="O112" s="133"/>
      <c r="P112" s="134">
        <v>49.15</v>
      </c>
      <c r="Q112" s="135">
        <f>data[[#This Row],[Costo Producto
Proveedor ($/Unid)]]*data[[#This Row],[Cantidad]]</f>
        <v>0</v>
      </c>
      <c r="R112" s="135">
        <f>data[[#This Row],[Cantidad]]*data[[#This Row],[Precio de Venta Cliente ($/Unid)]]</f>
        <v>147.44999999999999</v>
      </c>
      <c r="S112" s="136"/>
      <c r="T112" s="86" t="s">
        <v>1571</v>
      </c>
      <c r="U112" s="86"/>
      <c r="V112" s="137" t="s">
        <v>42</v>
      </c>
      <c r="W112" s="139" t="s">
        <v>42</v>
      </c>
      <c r="X112" s="87" t="s">
        <v>23</v>
      </c>
      <c r="Y112" s="87" t="s">
        <v>23</v>
      </c>
      <c r="Z112" s="87" t="s">
        <v>41</v>
      </c>
      <c r="AA112" s="86"/>
    </row>
    <row r="113" spans="2:27" s="105" customFormat="1" x14ac:dyDescent="0.25">
      <c r="B113" s="130"/>
      <c r="C113" s="130" t="str">
        <f>TEXT(data[[#This Row],[Fecha de Envío
Cotización]],"MMMM")</f>
        <v>mayo</v>
      </c>
      <c r="D113" s="144">
        <v>44336</v>
      </c>
      <c r="E113" s="130">
        <v>44337</v>
      </c>
      <c r="F113" s="130">
        <v>44351</v>
      </c>
      <c r="G113" s="86">
        <v>7620052021</v>
      </c>
      <c r="H113" s="130">
        <v>44337</v>
      </c>
      <c r="I113" s="86" t="s">
        <v>1917</v>
      </c>
      <c r="J113" s="87">
        <v>3524</v>
      </c>
      <c r="K113" s="89" t="s">
        <v>1558</v>
      </c>
      <c r="L113" s="87"/>
      <c r="M113" s="132" t="s">
        <v>1607</v>
      </c>
      <c r="N113" s="87">
        <v>1</v>
      </c>
      <c r="O113" s="133"/>
      <c r="P113" s="134">
        <v>335</v>
      </c>
      <c r="Q113" s="135">
        <f>data[[#This Row],[Costo Producto
Proveedor ($/Unid)]]*data[[#This Row],[Cantidad]]</f>
        <v>0</v>
      </c>
      <c r="R113" s="135">
        <f>data[[#This Row],[Cantidad]]*data[[#This Row],[Precio de Venta Cliente ($/Unid)]]</f>
        <v>335</v>
      </c>
      <c r="S113" s="136"/>
      <c r="T113" s="86" t="s">
        <v>73</v>
      </c>
      <c r="U113" s="86"/>
      <c r="V113" s="137" t="s">
        <v>44</v>
      </c>
      <c r="W113" s="139" t="s">
        <v>44</v>
      </c>
      <c r="X113" s="87" t="s">
        <v>45</v>
      </c>
      <c r="Y113" s="87" t="s">
        <v>503</v>
      </c>
      <c r="Z113" s="87" t="s">
        <v>41</v>
      </c>
      <c r="AA113" s="86" t="s">
        <v>1608</v>
      </c>
    </row>
    <row r="114" spans="2:27" s="105" customFormat="1" x14ac:dyDescent="0.25">
      <c r="B114" s="130"/>
      <c r="C114" s="130" t="str">
        <f>TEXT(data[[#This Row],[Fecha de Envío
Cotización]],"MMMM")</f>
        <v>mayo</v>
      </c>
      <c r="D114" s="144">
        <v>44342</v>
      </c>
      <c r="E114" s="174" t="str">
        <f>IF(data[[#This Row],[Estatus de 
Cotización]]="PERDIDO","N/A","")</f>
        <v/>
      </c>
      <c r="F114" s="130"/>
      <c r="G114" s="86"/>
      <c r="H114" s="130"/>
      <c r="I114" s="86"/>
      <c r="J114" s="87">
        <v>643</v>
      </c>
      <c r="K114" s="131" t="s">
        <v>262</v>
      </c>
      <c r="L114" s="87"/>
      <c r="M114" s="132" t="s">
        <v>460</v>
      </c>
      <c r="N114" s="87">
        <v>3</v>
      </c>
      <c r="O114" s="133"/>
      <c r="P114" s="134">
        <v>254.39</v>
      </c>
      <c r="Q114" s="135">
        <f>data[[#This Row],[Costo Producto
Proveedor ($/Unid)]]*data[[#This Row],[Cantidad]]</f>
        <v>0</v>
      </c>
      <c r="R114" s="135">
        <f>data[[#This Row],[Cantidad]]*data[[#This Row],[Precio de Venta Cliente ($/Unid)]]</f>
        <v>763.17</v>
      </c>
      <c r="S114" s="136"/>
      <c r="T114" s="86" t="s">
        <v>73</v>
      </c>
      <c r="U114" s="86"/>
      <c r="V114" s="137" t="s">
        <v>46</v>
      </c>
      <c r="W114" s="139" t="s">
        <v>46</v>
      </c>
      <c r="X114" s="87" t="s">
        <v>503</v>
      </c>
      <c r="Y114" s="87" t="s">
        <v>503</v>
      </c>
      <c r="Z114" s="87" t="s">
        <v>41</v>
      </c>
      <c r="AA114" s="86"/>
    </row>
    <row r="115" spans="2:27" s="105" customFormat="1" x14ac:dyDescent="0.25">
      <c r="B115" s="130"/>
      <c r="C115" s="130" t="str">
        <f>TEXT(data[[#This Row],[Fecha de Envío
Cotización]],"MMMM")</f>
        <v>mayo</v>
      </c>
      <c r="D115" s="144">
        <v>44342</v>
      </c>
      <c r="E115" s="174" t="str">
        <f>IF(data[[#This Row],[Estatus de 
Cotización]]="PERDIDO","N/A","")</f>
        <v/>
      </c>
      <c r="F115" s="130"/>
      <c r="G115" s="86"/>
      <c r="H115" s="130"/>
      <c r="I115" s="86"/>
      <c r="J115" s="87">
        <v>643</v>
      </c>
      <c r="K115" s="131" t="s">
        <v>262</v>
      </c>
      <c r="L115" s="87"/>
      <c r="M115" s="132" t="s">
        <v>459</v>
      </c>
      <c r="N115" s="87">
        <v>1</v>
      </c>
      <c r="O115" s="133"/>
      <c r="P115" s="134">
        <v>331.51</v>
      </c>
      <c r="Q115" s="135">
        <f>data[[#This Row],[Costo Producto
Proveedor ($/Unid)]]*data[[#This Row],[Cantidad]]</f>
        <v>0</v>
      </c>
      <c r="R115" s="135">
        <f>data[[#This Row],[Cantidad]]*data[[#This Row],[Precio de Venta Cliente ($/Unid)]]</f>
        <v>331.51</v>
      </c>
      <c r="S115" s="136"/>
      <c r="T115" s="86" t="s">
        <v>73</v>
      </c>
      <c r="U115" s="86"/>
      <c r="V115" s="137" t="s">
        <v>46</v>
      </c>
      <c r="W115" s="139" t="s">
        <v>46</v>
      </c>
      <c r="X115" s="87" t="s">
        <v>503</v>
      </c>
      <c r="Y115" s="87" t="s">
        <v>503</v>
      </c>
      <c r="Z115" s="87" t="s">
        <v>41</v>
      </c>
      <c r="AA115" s="86"/>
    </row>
    <row r="116" spans="2:27" s="105" customFormat="1" x14ac:dyDescent="0.25">
      <c r="B116" s="130"/>
      <c r="C116" s="130" t="str">
        <f>TEXT(data[[#This Row],[Fecha de Envío
Cotización]],"MMMM")</f>
        <v>mayo</v>
      </c>
      <c r="D116" s="144">
        <v>44342</v>
      </c>
      <c r="E116" s="174" t="str">
        <f>IF(data[[#This Row],[Estatus de 
Cotización]]="PERDIDO","N/A","")</f>
        <v/>
      </c>
      <c r="F116" s="130"/>
      <c r="G116" s="86"/>
      <c r="H116" s="130"/>
      <c r="I116" s="86"/>
      <c r="J116" s="87">
        <v>643</v>
      </c>
      <c r="K116" s="131" t="s">
        <v>262</v>
      </c>
      <c r="L116" s="87"/>
      <c r="M116" s="132" t="s">
        <v>461</v>
      </c>
      <c r="N116" s="87">
        <v>10</v>
      </c>
      <c r="O116" s="133"/>
      <c r="P116" s="134">
        <v>74.09</v>
      </c>
      <c r="Q116" s="135">
        <f>data[[#This Row],[Costo Producto
Proveedor ($/Unid)]]*data[[#This Row],[Cantidad]]</f>
        <v>0</v>
      </c>
      <c r="R116" s="135">
        <f>data[[#This Row],[Cantidad]]*data[[#This Row],[Precio de Venta Cliente ($/Unid)]]</f>
        <v>740.90000000000009</v>
      </c>
      <c r="S116" s="136"/>
      <c r="T116" s="86" t="s">
        <v>73</v>
      </c>
      <c r="U116" s="86"/>
      <c r="V116" s="137" t="s">
        <v>46</v>
      </c>
      <c r="W116" s="139" t="s">
        <v>46</v>
      </c>
      <c r="X116" s="87" t="s">
        <v>503</v>
      </c>
      <c r="Y116" s="87" t="s">
        <v>503</v>
      </c>
      <c r="Z116" s="87" t="s">
        <v>41</v>
      </c>
      <c r="AA116" s="86"/>
    </row>
    <row r="117" spans="2:27" s="105" customFormat="1" x14ac:dyDescent="0.25">
      <c r="B117" s="130"/>
      <c r="C117" s="130" t="str">
        <f>TEXT(data[[#This Row],[Fecha de Envío
Cotización]],"MMMM")</f>
        <v>mayo</v>
      </c>
      <c r="D117" s="144">
        <v>44342</v>
      </c>
      <c r="E117" s="174" t="str">
        <f>IF(data[[#This Row],[Estatus de 
Cotización]]="PERDIDO","N/A","")</f>
        <v/>
      </c>
      <c r="F117" s="130"/>
      <c r="G117" s="86"/>
      <c r="H117" s="130"/>
      <c r="I117" s="86"/>
      <c r="J117" s="87">
        <v>643</v>
      </c>
      <c r="K117" s="131" t="s">
        <v>262</v>
      </c>
      <c r="L117" s="87"/>
      <c r="M117" s="132" t="s">
        <v>1695</v>
      </c>
      <c r="N117" s="87">
        <v>2</v>
      </c>
      <c r="O117" s="133"/>
      <c r="P117" s="134">
        <v>292.05</v>
      </c>
      <c r="Q117" s="135">
        <f>data[[#This Row],[Costo Producto
Proveedor ($/Unid)]]*data[[#This Row],[Cantidad]]</f>
        <v>0</v>
      </c>
      <c r="R117" s="135">
        <f>data[[#This Row],[Cantidad]]*data[[#This Row],[Precio de Venta Cliente ($/Unid)]]</f>
        <v>584.1</v>
      </c>
      <c r="S117" s="136"/>
      <c r="T117" s="86" t="s">
        <v>73</v>
      </c>
      <c r="U117" s="86"/>
      <c r="V117" s="137" t="s">
        <v>46</v>
      </c>
      <c r="W117" s="139" t="s">
        <v>46</v>
      </c>
      <c r="X117" s="87" t="s">
        <v>503</v>
      </c>
      <c r="Y117" s="87" t="s">
        <v>503</v>
      </c>
      <c r="Z117" s="87" t="s">
        <v>41</v>
      </c>
      <c r="AA117" s="86"/>
    </row>
    <row r="118" spans="2:27" s="105" customFormat="1" x14ac:dyDescent="0.25">
      <c r="B118" s="130"/>
      <c r="C118" s="130" t="str">
        <f>TEXT(data[[#This Row],[Fecha de Envío
Cotización]],"MMMM")</f>
        <v>mayo</v>
      </c>
      <c r="D118" s="144">
        <v>44343</v>
      </c>
      <c r="E118" s="174" t="str">
        <f>IF(data[[#This Row],[Estatus de 
Cotización]]="PERDIDO","N/A","")</f>
        <v/>
      </c>
      <c r="F118" s="130"/>
      <c r="G118" s="86"/>
      <c r="H118" s="130"/>
      <c r="I118" s="86"/>
      <c r="J118" s="87">
        <v>3529</v>
      </c>
      <c r="K118" s="131" t="s">
        <v>329</v>
      </c>
      <c r="L118" s="87"/>
      <c r="M118" s="132" t="s">
        <v>1744</v>
      </c>
      <c r="N118" s="87">
        <v>15</v>
      </c>
      <c r="O118" s="133"/>
      <c r="P118" s="134">
        <v>15.54</v>
      </c>
      <c r="Q118" s="135">
        <f>data[[#This Row],[Costo Producto
Proveedor ($/Unid)]]*data[[#This Row],[Cantidad]]</f>
        <v>0</v>
      </c>
      <c r="R118" s="135">
        <f>data[[#This Row],[Cantidad]]*data[[#This Row],[Precio de Venta Cliente ($/Unid)]]</f>
        <v>233.1</v>
      </c>
      <c r="S118" s="136"/>
      <c r="T118" s="86" t="s">
        <v>73</v>
      </c>
      <c r="U118" s="86"/>
      <c r="V118" s="137" t="s">
        <v>46</v>
      </c>
      <c r="W118" s="139" t="s">
        <v>46</v>
      </c>
      <c r="X118" s="87" t="s">
        <v>503</v>
      </c>
      <c r="Y118" s="87" t="s">
        <v>503</v>
      </c>
      <c r="Z118" s="87" t="s">
        <v>41</v>
      </c>
      <c r="AA118" s="86"/>
    </row>
    <row r="119" spans="2:27" s="105" customFormat="1" x14ac:dyDescent="0.25">
      <c r="B119" s="130"/>
      <c r="C119" s="130" t="str">
        <f>TEXT(data[[#This Row],[Fecha de Envío
Cotización]],"MMMM")</f>
        <v>mayo</v>
      </c>
      <c r="D119" s="144">
        <v>44343</v>
      </c>
      <c r="E119" s="174" t="str">
        <f>IF(data[[#This Row],[Estatus de 
Cotización]]="PERDIDO","N/A","")</f>
        <v/>
      </c>
      <c r="F119" s="130"/>
      <c r="G119" s="86"/>
      <c r="H119" s="130"/>
      <c r="I119" s="86"/>
      <c r="J119" s="87">
        <v>3529</v>
      </c>
      <c r="K119" s="131" t="s">
        <v>329</v>
      </c>
      <c r="L119" s="87"/>
      <c r="M119" s="132" t="s">
        <v>1745</v>
      </c>
      <c r="N119" s="87">
        <v>30</v>
      </c>
      <c r="O119" s="133"/>
      <c r="P119" s="134">
        <v>24.33</v>
      </c>
      <c r="Q119" s="135">
        <f>data[[#This Row],[Costo Producto
Proveedor ($/Unid)]]*data[[#This Row],[Cantidad]]</f>
        <v>0</v>
      </c>
      <c r="R119" s="135">
        <f>data[[#This Row],[Cantidad]]*data[[#This Row],[Precio de Venta Cliente ($/Unid)]]</f>
        <v>729.9</v>
      </c>
      <c r="S119" s="136"/>
      <c r="T119" s="86" t="s">
        <v>73</v>
      </c>
      <c r="U119" s="86"/>
      <c r="V119" s="137" t="s">
        <v>46</v>
      </c>
      <c r="W119" s="139" t="s">
        <v>46</v>
      </c>
      <c r="X119" s="87" t="s">
        <v>503</v>
      </c>
      <c r="Y119" s="87" t="s">
        <v>503</v>
      </c>
      <c r="Z119" s="87" t="s">
        <v>41</v>
      </c>
      <c r="AA119" s="86"/>
    </row>
    <row r="120" spans="2:27" s="105" customFormat="1" x14ac:dyDescent="0.25">
      <c r="B120" s="130"/>
      <c r="C120" s="130" t="str">
        <f>TEXT(data[[#This Row],[Fecha de Envío
Cotización]],"MMMM")</f>
        <v>mayo</v>
      </c>
      <c r="D120" s="144">
        <v>44344</v>
      </c>
      <c r="E120" s="174" t="str">
        <f>IF(data[[#This Row],[Estatus de 
Cotización]]="PERDIDO","N/A","")</f>
        <v/>
      </c>
      <c r="F120" s="130"/>
      <c r="G120" s="86"/>
      <c r="H120" s="130"/>
      <c r="I120" s="86"/>
      <c r="J120" s="87">
        <v>3528</v>
      </c>
      <c r="K120" s="131" t="s">
        <v>76</v>
      </c>
      <c r="L120" s="87"/>
      <c r="M120" s="105" t="s">
        <v>1770</v>
      </c>
      <c r="N120" s="87">
        <v>1</v>
      </c>
      <c r="O120" s="133"/>
      <c r="P120" s="134">
        <v>25145.35</v>
      </c>
      <c r="Q120" s="135">
        <f>data[[#This Row],[Costo Producto
Proveedor ($/Unid)]]*data[[#This Row],[Cantidad]]</f>
        <v>0</v>
      </c>
      <c r="R120" s="135">
        <f>data[[#This Row],[Cantidad]]*data[[#This Row],[Precio de Venta Cliente ($/Unid)]]</f>
        <v>25145.35</v>
      </c>
      <c r="S120" s="136"/>
      <c r="T120" s="86" t="s">
        <v>134</v>
      </c>
      <c r="U120" s="86"/>
      <c r="V120" s="137" t="s">
        <v>46</v>
      </c>
      <c r="W120" s="139" t="s">
        <v>46</v>
      </c>
      <c r="X120" s="87" t="s">
        <v>503</v>
      </c>
      <c r="Y120" s="87" t="s">
        <v>503</v>
      </c>
      <c r="Z120" s="87" t="s">
        <v>41</v>
      </c>
      <c r="AA120" s="86"/>
    </row>
    <row r="121" spans="2:27" s="105" customFormat="1" x14ac:dyDescent="0.25">
      <c r="B121" s="130"/>
      <c r="C121" s="130" t="str">
        <f>TEXT(data[[#This Row],[Fecha de Envío
Cotización]],"MMMM")</f>
        <v>mayo</v>
      </c>
      <c r="D121" s="144">
        <v>44347</v>
      </c>
      <c r="E121" s="174" t="str">
        <f>IF(data[[#This Row],[Estatus de 
Cotización]]="PERDIDO","N/A","")</f>
        <v/>
      </c>
      <c r="F121" s="130"/>
      <c r="G121" s="86"/>
      <c r="H121" s="130"/>
      <c r="I121" s="86">
        <v>511614</v>
      </c>
      <c r="J121" s="87">
        <v>672</v>
      </c>
      <c r="K121" s="89" t="s">
        <v>76</v>
      </c>
      <c r="L121" s="87"/>
      <c r="M121" s="132" t="s">
        <v>618</v>
      </c>
      <c r="N121" s="87">
        <v>5736</v>
      </c>
      <c r="O121" s="133"/>
      <c r="P121" s="134">
        <v>0.33</v>
      </c>
      <c r="Q121" s="135">
        <f>data[[#This Row],[Costo Producto
Proveedor ($/Unid)]]*data[[#This Row],[Cantidad]]</f>
        <v>0</v>
      </c>
      <c r="R121" s="135">
        <f>data[[#This Row],[Cantidad]]*data[[#This Row],[Precio de Venta Cliente ($/Unid)]]</f>
        <v>1892.88</v>
      </c>
      <c r="S121" s="136"/>
      <c r="T121" s="86" t="s">
        <v>119</v>
      </c>
      <c r="U121" s="86"/>
      <c r="V121" s="137" t="s">
        <v>473</v>
      </c>
      <c r="W121" s="139" t="s">
        <v>473</v>
      </c>
      <c r="X121" s="87" t="s">
        <v>473</v>
      </c>
      <c r="Y121" s="87" t="s">
        <v>473</v>
      </c>
      <c r="Z121" s="87" t="s">
        <v>41</v>
      </c>
      <c r="AA121" s="86" t="s">
        <v>1803</v>
      </c>
    </row>
    <row r="122" spans="2:27" s="105" customFormat="1" x14ac:dyDescent="0.25">
      <c r="B122" s="130"/>
      <c r="C122" s="130" t="str">
        <f>TEXT(data[[#This Row],[Fecha de Envío
Cotización]],"MMMM")</f>
        <v>mayo</v>
      </c>
      <c r="D122" s="144">
        <v>44347</v>
      </c>
      <c r="E122" s="174" t="str">
        <f>IF(data[[#This Row],[Estatus de 
Cotización]]="PERDIDO","N/A","")</f>
        <v/>
      </c>
      <c r="F122" s="130"/>
      <c r="G122" s="86"/>
      <c r="H122" s="130"/>
      <c r="I122" s="86"/>
      <c r="J122" s="87">
        <v>675</v>
      </c>
      <c r="K122" s="131" t="s">
        <v>1766</v>
      </c>
      <c r="L122" s="87"/>
      <c r="M122" s="105" t="s">
        <v>1767</v>
      </c>
      <c r="N122" s="87">
        <v>1</v>
      </c>
      <c r="O122" s="133"/>
      <c r="P122" s="134">
        <v>8872.2099999999991</v>
      </c>
      <c r="Q122" s="135">
        <f>data[[#This Row],[Costo Producto
Proveedor ($/Unid)]]*data[[#This Row],[Cantidad]]</f>
        <v>0</v>
      </c>
      <c r="R122" s="135">
        <f>data[[#This Row],[Cantidad]]*data[[#This Row],[Precio de Venta Cliente ($/Unid)]]</f>
        <v>8872.2099999999991</v>
      </c>
      <c r="S122" s="136"/>
      <c r="T122" s="86" t="s">
        <v>73</v>
      </c>
      <c r="U122" s="86"/>
      <c r="V122" s="137" t="s">
        <v>473</v>
      </c>
      <c r="W122" s="139" t="s">
        <v>473</v>
      </c>
      <c r="X122" s="87" t="s">
        <v>473</v>
      </c>
      <c r="Y122" s="87" t="s">
        <v>473</v>
      </c>
      <c r="Z122" s="87" t="s">
        <v>41</v>
      </c>
      <c r="AA122" s="86" t="s">
        <v>1815</v>
      </c>
    </row>
    <row r="123" spans="2:27" s="105" customFormat="1" x14ac:dyDescent="0.25">
      <c r="B123" s="130"/>
      <c r="C123" s="130" t="str">
        <f>TEXT(data[[#This Row],[Fecha de Envío
Cotización]],"MMMM")</f>
        <v>junio</v>
      </c>
      <c r="D123" s="144">
        <v>44348</v>
      </c>
      <c r="E123" s="174" t="str">
        <f>IF(data[[#This Row],[Estatus de 
Cotización]]="PERDIDO","N/A","")</f>
        <v/>
      </c>
      <c r="F123" s="130"/>
      <c r="G123" s="86"/>
      <c r="H123" s="130"/>
      <c r="I123" s="86">
        <v>708090</v>
      </c>
      <c r="J123" s="87">
        <v>680</v>
      </c>
      <c r="K123" s="131" t="s">
        <v>416</v>
      </c>
      <c r="L123" s="87"/>
      <c r="M123" s="105" t="s">
        <v>1856</v>
      </c>
      <c r="N123" s="87">
        <v>4</v>
      </c>
      <c r="O123" s="133"/>
      <c r="P123" s="134">
        <v>71.599999999999994</v>
      </c>
      <c r="Q123" s="135">
        <f>data[[#This Row],[Costo Producto
Proveedor ($/Unid)]]*data[[#This Row],[Cantidad]]</f>
        <v>0</v>
      </c>
      <c r="R123" s="135">
        <f>data[[#This Row],[Cantidad]]*data[[#This Row],[Precio de Venta Cliente ($/Unid)]]</f>
        <v>286.39999999999998</v>
      </c>
      <c r="S123" s="136"/>
      <c r="T123" s="86" t="s">
        <v>73</v>
      </c>
      <c r="U123" s="86"/>
      <c r="V123" s="137" t="s">
        <v>46</v>
      </c>
      <c r="W123" s="139" t="s">
        <v>46</v>
      </c>
      <c r="X123" s="87" t="s">
        <v>503</v>
      </c>
      <c r="Y123" s="87" t="s">
        <v>503</v>
      </c>
      <c r="Z123" s="87" t="s">
        <v>41</v>
      </c>
      <c r="AA123" s="86"/>
    </row>
    <row r="124" spans="2:27" s="105" customFormat="1" x14ac:dyDescent="0.25">
      <c r="B124" s="130"/>
      <c r="C124" s="130" t="str">
        <f>TEXT(data[[#This Row],[Fecha de Envío
Cotización]],"MMMM")</f>
        <v>junio</v>
      </c>
      <c r="D124" s="144">
        <v>44348</v>
      </c>
      <c r="E124" s="174" t="str">
        <f>IF(data[[#This Row],[Estatus de 
Cotización]]="PERDIDO","N/A","")</f>
        <v/>
      </c>
      <c r="F124" s="130"/>
      <c r="G124" s="86"/>
      <c r="H124" s="130"/>
      <c r="I124" s="86">
        <v>10203</v>
      </c>
      <c r="J124" s="87">
        <v>679</v>
      </c>
      <c r="K124" s="131" t="s">
        <v>76</v>
      </c>
      <c r="L124" s="87"/>
      <c r="M124" s="105" t="s">
        <v>1838</v>
      </c>
      <c r="N124" s="87">
        <v>5760</v>
      </c>
      <c r="O124" s="133"/>
      <c r="P124" s="134">
        <v>0.37</v>
      </c>
      <c r="Q124" s="135">
        <f>data[[#This Row],[Costo Producto
Proveedor ($/Unid)]]*data[[#This Row],[Cantidad]]</f>
        <v>0</v>
      </c>
      <c r="R124" s="135">
        <f>data[[#This Row],[Cantidad]]*data[[#This Row],[Precio de Venta Cliente ($/Unid)]]</f>
        <v>2131.1999999999998</v>
      </c>
      <c r="S124" s="136"/>
      <c r="T124" s="86" t="s">
        <v>119</v>
      </c>
      <c r="U124" s="86"/>
      <c r="V124" s="137" t="s">
        <v>473</v>
      </c>
      <c r="W124" s="139" t="s">
        <v>473</v>
      </c>
      <c r="X124" s="87" t="s">
        <v>473</v>
      </c>
      <c r="Y124" s="87" t="s">
        <v>473</v>
      </c>
      <c r="Z124" s="87" t="s">
        <v>41</v>
      </c>
      <c r="AA124" s="86" t="s">
        <v>1848</v>
      </c>
    </row>
    <row r="125" spans="2:27" s="105" customFormat="1" x14ac:dyDescent="0.25">
      <c r="B125" s="130"/>
      <c r="C125" s="130" t="str">
        <f>TEXT(data[[#This Row],[Fecha de Envío
Cotización]],"MMMM")</f>
        <v>junio</v>
      </c>
      <c r="D125" s="144">
        <v>44348</v>
      </c>
      <c r="E125" s="174" t="str">
        <f>IF(data[[#This Row],[Estatus de 
Cotización]]="PERDIDO","N/A","")</f>
        <v/>
      </c>
      <c r="F125" s="130"/>
      <c r="G125" s="86"/>
      <c r="H125" s="130"/>
      <c r="I125" s="86">
        <v>405060</v>
      </c>
      <c r="J125" s="87">
        <v>682</v>
      </c>
      <c r="K125" s="131" t="s">
        <v>76</v>
      </c>
      <c r="L125" s="87"/>
      <c r="M125" s="105" t="s">
        <v>1849</v>
      </c>
      <c r="N125" s="87">
        <v>5760</v>
      </c>
      <c r="O125" s="133"/>
      <c r="P125" s="134">
        <v>0.46</v>
      </c>
      <c r="Q125" s="135">
        <f>data[[#This Row],[Costo Producto
Proveedor ($/Unid)]]*data[[#This Row],[Cantidad]]</f>
        <v>0</v>
      </c>
      <c r="R125" s="135">
        <f>data[[#This Row],[Cantidad]]*data[[#This Row],[Precio de Venta Cliente ($/Unid)]]</f>
        <v>2649.6</v>
      </c>
      <c r="S125" s="136"/>
      <c r="T125" s="86" t="s">
        <v>119</v>
      </c>
      <c r="U125" s="86"/>
      <c r="V125" s="137" t="s">
        <v>46</v>
      </c>
      <c r="W125" s="139" t="s">
        <v>46</v>
      </c>
      <c r="X125" s="87" t="s">
        <v>503</v>
      </c>
      <c r="Y125" s="87" t="s">
        <v>503</v>
      </c>
      <c r="Z125" s="87" t="s">
        <v>41</v>
      </c>
      <c r="AA125" s="86"/>
    </row>
    <row r="126" spans="2:27" s="105" customFormat="1" x14ac:dyDescent="0.25">
      <c r="B126" s="130"/>
      <c r="C126" s="130" t="str">
        <f>TEXT(data[[#This Row],[Fecha de Envío
Cotización]],"MMMM")</f>
        <v>junio</v>
      </c>
      <c r="D126" s="144">
        <v>44348</v>
      </c>
      <c r="E126" s="174" t="str">
        <f>IF(data[[#This Row],[Estatus de 
Cotización]]="PERDIDO","N/A","")</f>
        <v/>
      </c>
      <c r="F126" s="130"/>
      <c r="G126" s="86"/>
      <c r="H126" s="130"/>
      <c r="I126" s="86">
        <v>147741</v>
      </c>
      <c r="J126" s="87">
        <v>683</v>
      </c>
      <c r="K126" s="131" t="s">
        <v>413</v>
      </c>
      <c r="L126" s="87"/>
      <c r="M126" s="105" t="s">
        <v>1850</v>
      </c>
      <c r="N126" s="87">
        <v>12</v>
      </c>
      <c r="O126" s="133"/>
      <c r="P126" s="134">
        <v>78.13</v>
      </c>
      <c r="Q126" s="135">
        <f>data[[#This Row],[Costo Producto
Proveedor ($/Unid)]]*data[[#This Row],[Cantidad]]</f>
        <v>0</v>
      </c>
      <c r="R126" s="135">
        <f>data[[#This Row],[Cantidad]]*data[[#This Row],[Precio de Venta Cliente ($/Unid)]]</f>
        <v>937.56</v>
      </c>
      <c r="S126" s="136"/>
      <c r="T126" s="86" t="s">
        <v>73</v>
      </c>
      <c r="U126" s="86"/>
      <c r="V126" s="137" t="s">
        <v>46</v>
      </c>
      <c r="W126" s="139" t="s">
        <v>46</v>
      </c>
      <c r="X126" s="87" t="s">
        <v>503</v>
      </c>
      <c r="Y126" s="87" t="s">
        <v>503</v>
      </c>
      <c r="Z126" s="87" t="s">
        <v>41</v>
      </c>
      <c r="AA126" s="86"/>
    </row>
    <row r="127" spans="2:27" s="105" customFormat="1" x14ac:dyDescent="0.25">
      <c r="B127" s="130"/>
      <c r="C127" s="130" t="str">
        <f>TEXT(data[[#This Row],[Fecha de Envío
Cotización]],"MMMM")</f>
        <v>junio</v>
      </c>
      <c r="D127" s="144">
        <v>44348</v>
      </c>
      <c r="E127" s="174" t="str">
        <f>IF(data[[#This Row],[Estatus de 
Cotización]]="PERDIDO","N/A","")</f>
        <v/>
      </c>
      <c r="F127" s="130"/>
      <c r="G127" s="86"/>
      <c r="H127" s="130"/>
      <c r="I127" s="86">
        <v>258852</v>
      </c>
      <c r="J127" s="87">
        <v>683</v>
      </c>
      <c r="K127" s="131" t="s">
        <v>413</v>
      </c>
      <c r="L127" s="87"/>
      <c r="M127" s="105" t="s">
        <v>1851</v>
      </c>
      <c r="N127" s="87">
        <v>2</v>
      </c>
      <c r="O127" s="133"/>
      <c r="P127" s="134">
        <v>316.58</v>
      </c>
      <c r="Q127" s="135">
        <f>data[[#This Row],[Costo Producto
Proveedor ($/Unid)]]*data[[#This Row],[Cantidad]]</f>
        <v>0</v>
      </c>
      <c r="R127" s="135">
        <f>data[[#This Row],[Cantidad]]*data[[#This Row],[Precio de Venta Cliente ($/Unid)]]</f>
        <v>633.16</v>
      </c>
      <c r="S127" s="136"/>
      <c r="T127" s="86" t="s">
        <v>73</v>
      </c>
      <c r="U127" s="86"/>
      <c r="V127" s="137" t="s">
        <v>46</v>
      </c>
      <c r="W127" s="139" t="s">
        <v>46</v>
      </c>
      <c r="X127" s="87" t="s">
        <v>503</v>
      </c>
      <c r="Y127" s="87" t="s">
        <v>503</v>
      </c>
      <c r="Z127" s="87" t="s">
        <v>41</v>
      </c>
      <c r="AA127" s="86"/>
    </row>
    <row r="128" spans="2:27" s="105" customFormat="1" x14ac:dyDescent="0.25">
      <c r="B128" s="130"/>
      <c r="C128" s="130" t="str">
        <f>TEXT(data[[#This Row],[Fecha de Envío
Cotización]],"MMMM")</f>
        <v>junio</v>
      </c>
      <c r="D128" s="144">
        <v>44348</v>
      </c>
      <c r="E128" s="174" t="str">
        <f>IF(data[[#This Row],[Estatus de 
Cotización]]="PERDIDO","N/A","")</f>
        <v/>
      </c>
      <c r="F128" s="130"/>
      <c r="G128" s="86"/>
      <c r="H128" s="130"/>
      <c r="I128" s="86">
        <v>369963</v>
      </c>
      <c r="J128" s="87">
        <v>683</v>
      </c>
      <c r="K128" s="131" t="s">
        <v>413</v>
      </c>
      <c r="L128" s="87"/>
      <c r="M128" s="105" t="s">
        <v>1852</v>
      </c>
      <c r="N128" s="87">
        <v>2</v>
      </c>
      <c r="O128" s="133"/>
      <c r="P128" s="134">
        <v>384.51</v>
      </c>
      <c r="Q128" s="135">
        <f>data[[#This Row],[Costo Producto
Proveedor ($/Unid)]]*data[[#This Row],[Cantidad]]</f>
        <v>0</v>
      </c>
      <c r="R128" s="135">
        <f>data[[#This Row],[Cantidad]]*data[[#This Row],[Precio de Venta Cliente ($/Unid)]]</f>
        <v>769.02</v>
      </c>
      <c r="S128" s="136"/>
      <c r="T128" s="86" t="s">
        <v>73</v>
      </c>
      <c r="U128" s="86"/>
      <c r="V128" s="137" t="s">
        <v>46</v>
      </c>
      <c r="W128" s="139" t="s">
        <v>46</v>
      </c>
      <c r="X128" s="87" t="s">
        <v>503</v>
      </c>
      <c r="Y128" s="87" t="s">
        <v>503</v>
      </c>
      <c r="Z128" s="87" t="s">
        <v>41</v>
      </c>
      <c r="AA128" s="86"/>
    </row>
    <row r="129" spans="1:27" s="105" customFormat="1" x14ac:dyDescent="0.25">
      <c r="B129" s="130"/>
      <c r="C129" s="130" t="str">
        <f>TEXT(data[[#This Row],[Fecha de Envío
Cotización]],"MMMM")</f>
        <v>junio</v>
      </c>
      <c r="D129" s="144">
        <v>44348</v>
      </c>
      <c r="E129" s="174" t="str">
        <f>IF(data[[#This Row],[Estatus de 
Cotización]]="PERDIDO","N/A","")</f>
        <v/>
      </c>
      <c r="F129" s="130"/>
      <c r="G129" s="86"/>
      <c r="H129" s="130"/>
      <c r="I129" s="86">
        <v>25520</v>
      </c>
      <c r="J129" s="87">
        <v>683</v>
      </c>
      <c r="K129" s="131" t="s">
        <v>413</v>
      </c>
      <c r="L129" s="87"/>
      <c r="M129" s="105" t="s">
        <v>1853</v>
      </c>
      <c r="N129" s="87">
        <v>2</v>
      </c>
      <c r="O129" s="133"/>
      <c r="P129" s="134">
        <v>66.53</v>
      </c>
      <c r="Q129" s="135">
        <f>data[[#This Row],[Costo Producto
Proveedor ($/Unid)]]*data[[#This Row],[Cantidad]]</f>
        <v>0</v>
      </c>
      <c r="R129" s="135">
        <f>data[[#This Row],[Cantidad]]*data[[#This Row],[Precio de Venta Cliente ($/Unid)]]</f>
        <v>133.06</v>
      </c>
      <c r="S129" s="136"/>
      <c r="T129" s="86" t="s">
        <v>73</v>
      </c>
      <c r="U129" s="86"/>
      <c r="V129" s="137" t="s">
        <v>46</v>
      </c>
      <c r="W129" s="139" t="s">
        <v>46</v>
      </c>
      <c r="X129" s="87" t="s">
        <v>503</v>
      </c>
      <c r="Y129" s="87" t="s">
        <v>503</v>
      </c>
      <c r="Z129" s="87" t="s">
        <v>41</v>
      </c>
      <c r="AA129" s="86"/>
    </row>
    <row r="130" spans="1:27" s="105" customFormat="1" x14ac:dyDescent="0.25">
      <c r="B130" s="130"/>
      <c r="C130" s="130" t="str">
        <f>TEXT(data[[#This Row],[Fecha de Envío
Cotización]],"MMMM")</f>
        <v>junio</v>
      </c>
      <c r="D130" s="144">
        <v>44348</v>
      </c>
      <c r="E130" s="174" t="str">
        <f>IF(data[[#This Row],[Estatus de 
Cotización]]="PERDIDO","N/A","")</f>
        <v/>
      </c>
      <c r="F130" s="130"/>
      <c r="G130" s="86"/>
      <c r="H130" s="130"/>
      <c r="I130" s="86">
        <v>14410</v>
      </c>
      <c r="J130" s="87">
        <v>683</v>
      </c>
      <c r="K130" s="131" t="s">
        <v>413</v>
      </c>
      <c r="L130" s="87"/>
      <c r="M130" s="105" t="s">
        <v>1854</v>
      </c>
      <c r="N130" s="87">
        <v>2</v>
      </c>
      <c r="O130" s="133"/>
      <c r="P130" s="134">
        <v>426.46</v>
      </c>
      <c r="Q130" s="135">
        <f>data[[#This Row],[Costo Producto
Proveedor ($/Unid)]]*data[[#This Row],[Cantidad]]</f>
        <v>0</v>
      </c>
      <c r="R130" s="135">
        <f>data[[#This Row],[Cantidad]]*data[[#This Row],[Precio de Venta Cliente ($/Unid)]]</f>
        <v>852.92</v>
      </c>
      <c r="S130" s="136"/>
      <c r="T130" s="86" t="s">
        <v>73</v>
      </c>
      <c r="U130" s="86"/>
      <c r="V130" s="137" t="s">
        <v>46</v>
      </c>
      <c r="W130" s="139" t="s">
        <v>46</v>
      </c>
      <c r="X130" s="87" t="s">
        <v>503</v>
      </c>
      <c r="Y130" s="87" t="s">
        <v>503</v>
      </c>
      <c r="Z130" s="87" t="s">
        <v>41</v>
      </c>
      <c r="AA130" s="86"/>
    </row>
    <row r="131" spans="1:27" s="105" customFormat="1" x14ac:dyDescent="0.25">
      <c r="B131" s="130"/>
      <c r="C131" s="130" t="str">
        <f>TEXT(data[[#This Row],[Fecha de Envío
Cotización]],"MMMM")</f>
        <v>junio</v>
      </c>
      <c r="D131" s="144">
        <v>44348</v>
      </c>
      <c r="E131" s="174" t="str">
        <f>IF(data[[#This Row],[Estatus de 
Cotización]]="PERDIDO","N/A","")</f>
        <v/>
      </c>
      <c r="F131" s="130"/>
      <c r="G131" s="86"/>
      <c r="H131" s="130"/>
      <c r="I131" s="86">
        <v>36630</v>
      </c>
      <c r="J131" s="87">
        <v>683</v>
      </c>
      <c r="K131" s="131" t="s">
        <v>413</v>
      </c>
      <c r="L131" s="87"/>
      <c r="M131" s="105" t="s">
        <v>1855</v>
      </c>
      <c r="N131" s="87">
        <v>2</v>
      </c>
      <c r="O131" s="133"/>
      <c r="P131" s="134">
        <v>18.149999999999999</v>
      </c>
      <c r="Q131" s="135">
        <f>data[[#This Row],[Costo Producto
Proveedor ($/Unid)]]*data[[#This Row],[Cantidad]]</f>
        <v>0</v>
      </c>
      <c r="R131" s="135">
        <f>data[[#This Row],[Cantidad]]*data[[#This Row],[Precio de Venta Cliente ($/Unid)]]</f>
        <v>36.299999999999997</v>
      </c>
      <c r="S131" s="136"/>
      <c r="T131" s="86" t="s">
        <v>73</v>
      </c>
      <c r="U131" s="86"/>
      <c r="V131" s="137" t="s">
        <v>46</v>
      </c>
      <c r="W131" s="139" t="s">
        <v>46</v>
      </c>
      <c r="X131" s="87" t="s">
        <v>503</v>
      </c>
      <c r="Y131" s="87" t="s">
        <v>503</v>
      </c>
      <c r="Z131" s="87" t="s">
        <v>41</v>
      </c>
      <c r="AA131" s="86"/>
    </row>
    <row r="132" spans="1:27" s="105" customFormat="1" x14ac:dyDescent="0.25">
      <c r="A132" s="9"/>
      <c r="B132" s="130"/>
      <c r="C132" s="130" t="str">
        <f>TEXT(data[[#This Row],[Fecha de Envío
Cotización]],"MMMM")</f>
        <v>junio</v>
      </c>
      <c r="D132" s="144">
        <v>44349</v>
      </c>
      <c r="E132" s="174" t="str">
        <f>IF(data[[#This Row],[Estatus de 
Cotización]]="PERDIDO","N/A","")</f>
        <v/>
      </c>
      <c r="F132" s="130"/>
      <c r="G132" s="86"/>
      <c r="H132" s="130"/>
      <c r="I132" s="86">
        <v>123321</v>
      </c>
      <c r="J132" s="87">
        <v>688</v>
      </c>
      <c r="K132" s="131" t="s">
        <v>76</v>
      </c>
      <c r="L132" s="87"/>
      <c r="M132" s="105" t="s">
        <v>1890</v>
      </c>
      <c r="N132" s="87">
        <v>2</v>
      </c>
      <c r="O132" s="133"/>
      <c r="P132" s="134">
        <v>93.67</v>
      </c>
      <c r="Q132" s="135">
        <f>data[[#This Row],[Costo Producto
Proveedor ($/Unid)]]*data[[#This Row],[Cantidad]]</f>
        <v>0</v>
      </c>
      <c r="R132" s="135">
        <f>data[[#This Row],[Cantidad]]*data[[#This Row],[Precio de Venta Cliente ($/Unid)]]</f>
        <v>187.34</v>
      </c>
      <c r="S132" s="136"/>
      <c r="T132" s="86" t="s">
        <v>73</v>
      </c>
      <c r="U132" s="86"/>
      <c r="V132" s="137" t="s">
        <v>46</v>
      </c>
      <c r="W132" s="139" t="s">
        <v>46</v>
      </c>
      <c r="X132" s="87" t="s">
        <v>503</v>
      </c>
      <c r="Y132" s="87" t="s">
        <v>503</v>
      </c>
      <c r="Z132" s="87" t="s">
        <v>41</v>
      </c>
      <c r="AA132" s="86"/>
    </row>
    <row r="133" spans="1:27" s="105" customFormat="1" x14ac:dyDescent="0.25">
      <c r="A133" s="9"/>
      <c r="B133" s="130"/>
      <c r="C133" s="130" t="str">
        <f>TEXT(data[[#This Row],[Fecha de Envío
Cotización]],"MMMM")</f>
        <v>junio</v>
      </c>
      <c r="D133" s="144">
        <v>44349</v>
      </c>
      <c r="E133" s="174" t="str">
        <f>IF(data[[#This Row],[Estatus de 
Cotización]]="PERDIDO","N/A","")</f>
        <v/>
      </c>
      <c r="F133" s="130"/>
      <c r="G133" s="86"/>
      <c r="H133" s="130"/>
      <c r="I133" s="86">
        <v>654456</v>
      </c>
      <c r="J133" s="87">
        <v>689</v>
      </c>
      <c r="K133" s="131" t="s">
        <v>76</v>
      </c>
      <c r="L133" s="87"/>
      <c r="M133" s="105" t="s">
        <v>1891</v>
      </c>
      <c r="N133" s="87">
        <v>1</v>
      </c>
      <c r="O133" s="133"/>
      <c r="P133" s="134">
        <v>20.91</v>
      </c>
      <c r="Q133" s="135">
        <f>data[[#This Row],[Costo Producto
Proveedor ($/Unid)]]*data[[#This Row],[Cantidad]]</f>
        <v>0</v>
      </c>
      <c r="R133" s="135">
        <f>data[[#This Row],[Cantidad]]*data[[#This Row],[Precio de Venta Cliente ($/Unid)]]</f>
        <v>20.91</v>
      </c>
      <c r="S133" s="136"/>
      <c r="T133" s="86" t="s">
        <v>73</v>
      </c>
      <c r="U133" s="86"/>
      <c r="V133" s="137" t="s">
        <v>46</v>
      </c>
      <c r="W133" s="139" t="s">
        <v>46</v>
      </c>
      <c r="X133" s="87" t="s">
        <v>503</v>
      </c>
      <c r="Y133" s="87" t="s">
        <v>503</v>
      </c>
      <c r="Z133" s="87" t="s">
        <v>41</v>
      </c>
      <c r="AA133" s="86"/>
    </row>
    <row r="134" spans="1:27" s="105" customFormat="1" x14ac:dyDescent="0.25">
      <c r="A134" s="9"/>
      <c r="B134" s="130"/>
      <c r="C134" s="130" t="str">
        <f>TEXT(data[[#This Row],[Fecha de Envío
Cotización]],"MMMM")</f>
        <v>junio</v>
      </c>
      <c r="D134" s="144">
        <v>44349</v>
      </c>
      <c r="E134" s="174" t="str">
        <f>IF(data[[#This Row],[Estatus de 
Cotización]]="PERDIDO","N/A","")</f>
        <v/>
      </c>
      <c r="F134" s="130"/>
      <c r="G134" s="86"/>
      <c r="H134" s="130"/>
      <c r="I134" s="86">
        <v>789987</v>
      </c>
      <c r="J134" s="87">
        <v>689</v>
      </c>
      <c r="K134" s="131" t="s">
        <v>76</v>
      </c>
      <c r="L134" s="87"/>
      <c r="M134" s="105" t="s">
        <v>1892</v>
      </c>
      <c r="N134" s="87">
        <v>1</v>
      </c>
      <c r="O134" s="133"/>
      <c r="P134" s="134">
        <v>377.87</v>
      </c>
      <c r="Q134" s="135">
        <f>data[[#This Row],[Costo Producto
Proveedor ($/Unid)]]*data[[#This Row],[Cantidad]]</f>
        <v>0</v>
      </c>
      <c r="R134" s="135">
        <f>data[[#This Row],[Cantidad]]*data[[#This Row],[Precio de Venta Cliente ($/Unid)]]</f>
        <v>377.87</v>
      </c>
      <c r="S134" s="136"/>
      <c r="T134" s="86" t="s">
        <v>73</v>
      </c>
      <c r="U134" s="86"/>
      <c r="V134" s="137" t="s">
        <v>46</v>
      </c>
      <c r="W134" s="139" t="s">
        <v>46</v>
      </c>
      <c r="X134" s="87" t="s">
        <v>503</v>
      </c>
      <c r="Y134" s="87" t="s">
        <v>503</v>
      </c>
      <c r="Z134" s="87" t="s">
        <v>41</v>
      </c>
      <c r="AA134" s="86"/>
    </row>
    <row r="135" spans="1:27" s="105" customFormat="1" x14ac:dyDescent="0.25">
      <c r="A135" s="9"/>
      <c r="B135" s="130"/>
      <c r="C135" s="130" t="str">
        <f>TEXT(data[[#This Row],[Fecha de Envío
Cotización]],"MMMM")</f>
        <v>junio</v>
      </c>
      <c r="D135" s="144">
        <v>44350</v>
      </c>
      <c r="E135" s="174" t="str">
        <f>IF(data[[#This Row],[Estatus de 
Cotización]]="PERDIDO","N/A","")</f>
        <v/>
      </c>
      <c r="F135" s="130"/>
      <c r="G135" s="86"/>
      <c r="H135" s="130"/>
      <c r="I135" s="86">
        <v>784512</v>
      </c>
      <c r="J135" s="87">
        <v>704</v>
      </c>
      <c r="K135" s="131" t="s">
        <v>262</v>
      </c>
      <c r="L135" s="87"/>
      <c r="M135" s="105" t="s">
        <v>1909</v>
      </c>
      <c r="N135" s="87">
        <v>1</v>
      </c>
      <c r="O135" s="133"/>
      <c r="P135" s="134">
        <v>179.39</v>
      </c>
      <c r="Q135" s="135">
        <f>data[[#This Row],[Costo Producto
Proveedor ($/Unid)]]*data[[#This Row],[Cantidad]]</f>
        <v>0</v>
      </c>
      <c r="R135" s="135">
        <f>data[[#This Row],[Cantidad]]*data[[#This Row],[Precio de Venta Cliente ($/Unid)]]</f>
        <v>179.39</v>
      </c>
      <c r="S135" s="136"/>
      <c r="T135" s="86" t="s">
        <v>73</v>
      </c>
      <c r="U135" s="86"/>
      <c r="V135" s="137" t="s">
        <v>46</v>
      </c>
      <c r="W135" s="139" t="s">
        <v>46</v>
      </c>
      <c r="X135" s="87" t="s">
        <v>503</v>
      </c>
      <c r="Y135" s="87" t="s">
        <v>503</v>
      </c>
      <c r="Z135" s="87" t="s">
        <v>41</v>
      </c>
      <c r="AA135" s="86"/>
    </row>
    <row r="136" spans="1:27" s="105" customFormat="1" x14ac:dyDescent="0.25">
      <c r="A136" s="9"/>
      <c r="B136" s="130"/>
      <c r="C136" s="130" t="str">
        <f>TEXT(data[[#This Row],[Fecha de Envío
Cotización]],"MMMM")</f>
        <v>junio</v>
      </c>
      <c r="D136" s="144">
        <v>44350</v>
      </c>
      <c r="E136" s="174" t="str">
        <f>IF(data[[#This Row],[Estatus de 
Cotización]]="PERDIDO","N/A","")</f>
        <v/>
      </c>
      <c r="F136" s="130"/>
      <c r="G136" s="86"/>
      <c r="H136" s="130"/>
      <c r="I136" s="86">
        <v>895623</v>
      </c>
      <c r="J136" s="87">
        <v>704</v>
      </c>
      <c r="K136" s="131" t="s">
        <v>262</v>
      </c>
      <c r="L136" s="87"/>
      <c r="M136" s="105" t="s">
        <v>1910</v>
      </c>
      <c r="N136" s="87">
        <v>1</v>
      </c>
      <c r="O136" s="133"/>
      <c r="P136" s="134">
        <v>94.25</v>
      </c>
      <c r="Q136" s="135">
        <f>data[[#This Row],[Costo Producto
Proveedor ($/Unid)]]*data[[#This Row],[Cantidad]]</f>
        <v>0</v>
      </c>
      <c r="R136" s="135">
        <f>data[[#This Row],[Cantidad]]*data[[#This Row],[Precio de Venta Cliente ($/Unid)]]</f>
        <v>94.25</v>
      </c>
      <c r="S136" s="136"/>
      <c r="T136" s="86" t="s">
        <v>73</v>
      </c>
      <c r="U136" s="86"/>
      <c r="V136" s="137" t="s">
        <v>46</v>
      </c>
      <c r="W136" s="139" t="s">
        <v>46</v>
      </c>
      <c r="X136" s="87" t="s">
        <v>503</v>
      </c>
      <c r="Y136" s="87" t="s">
        <v>503</v>
      </c>
      <c r="Z136" s="87" t="s">
        <v>41</v>
      </c>
      <c r="AA136" s="86"/>
    </row>
    <row r="137" spans="1:27" s="105" customFormat="1" x14ac:dyDescent="0.25">
      <c r="A137" s="9"/>
      <c r="B137" s="130"/>
      <c r="C137" s="130" t="str">
        <f>TEXT(data[[#This Row],[Fecha de Envío
Cotización]],"MMMM")</f>
        <v>junio</v>
      </c>
      <c r="D137" s="144">
        <v>44350</v>
      </c>
      <c r="E137" s="174" t="str">
        <f>IF(data[[#This Row],[Estatus de 
Cotización]]="PERDIDO","N/A","")</f>
        <v>N/A</v>
      </c>
      <c r="F137" s="130"/>
      <c r="G137" s="86"/>
      <c r="H137" s="130"/>
      <c r="I137" s="86"/>
      <c r="J137" s="87">
        <v>3540</v>
      </c>
      <c r="K137" s="131" t="s">
        <v>1766</v>
      </c>
      <c r="L137" s="87"/>
      <c r="M137" s="105" t="s">
        <v>1767</v>
      </c>
      <c r="N137" s="87">
        <v>1</v>
      </c>
      <c r="O137" s="133"/>
      <c r="P137" s="134">
        <v>6481.4</v>
      </c>
      <c r="Q137" s="135">
        <f>data[[#This Row],[Costo Producto
Proveedor ($/Unid)]]*data[[#This Row],[Cantidad]]</f>
        <v>0</v>
      </c>
      <c r="R137" s="135">
        <f>data[[#This Row],[Cantidad]]*data[[#This Row],[Precio de Venta Cliente ($/Unid)]]</f>
        <v>6481.4</v>
      </c>
      <c r="S137" s="136"/>
      <c r="T137" s="86" t="s">
        <v>51</v>
      </c>
      <c r="U137" s="86"/>
      <c r="V137" s="137" t="s">
        <v>42</v>
      </c>
      <c r="W137" s="139" t="s">
        <v>42</v>
      </c>
      <c r="X137" s="87" t="s">
        <v>503</v>
      </c>
      <c r="Y137" s="87" t="s">
        <v>503</v>
      </c>
      <c r="Z137" s="87" t="s">
        <v>41</v>
      </c>
      <c r="AA137" s="86" t="s">
        <v>1986</v>
      </c>
    </row>
    <row r="138" spans="1:27" s="105" customFormat="1" x14ac:dyDescent="0.25">
      <c r="A138" s="9"/>
      <c r="B138" s="130"/>
      <c r="C138" s="130" t="str">
        <f>TEXT(data[[#This Row],[Fecha de Envío
Cotización]],"MMMM")</f>
        <v>junio</v>
      </c>
      <c r="D138" s="144">
        <v>44351</v>
      </c>
      <c r="E138" s="174" t="str">
        <f>IF(data[[#This Row],[Estatus de 
Cotización]]="PERDIDO","N/A","")</f>
        <v>N/A</v>
      </c>
      <c r="F138" s="130"/>
      <c r="G138" s="86"/>
      <c r="H138" s="130"/>
      <c r="I138" s="86"/>
      <c r="J138" s="87">
        <v>3542</v>
      </c>
      <c r="K138" s="131" t="s">
        <v>1558</v>
      </c>
      <c r="L138" s="87"/>
      <c r="M138" s="105" t="s">
        <v>1919</v>
      </c>
      <c r="N138" s="87">
        <v>3</v>
      </c>
      <c r="O138" s="133"/>
      <c r="P138" s="134">
        <v>632.13</v>
      </c>
      <c r="Q138" s="135">
        <f>data[[#This Row],[Costo Producto
Proveedor ($/Unid)]]*data[[#This Row],[Cantidad]]</f>
        <v>0</v>
      </c>
      <c r="R138" s="135">
        <f>data[[#This Row],[Cantidad]]*data[[#This Row],[Precio de Venta Cliente ($/Unid)]]</f>
        <v>1896.3899999999999</v>
      </c>
      <c r="S138" s="136"/>
      <c r="T138" s="86" t="s">
        <v>77</v>
      </c>
      <c r="U138" s="86"/>
      <c r="V138" s="137" t="s">
        <v>42</v>
      </c>
      <c r="W138" s="139" t="s">
        <v>42</v>
      </c>
      <c r="X138" s="87" t="s">
        <v>503</v>
      </c>
      <c r="Y138" s="87" t="s">
        <v>503</v>
      </c>
      <c r="Z138" s="87" t="s">
        <v>41</v>
      </c>
      <c r="AA138" s="86"/>
    </row>
    <row r="139" spans="1:27" s="105" customFormat="1" x14ac:dyDescent="0.25">
      <c r="A139" s="9"/>
      <c r="B139" s="130"/>
      <c r="C139" s="130" t="str">
        <f>TEXT(data[[#This Row],[Fecha de Envío
Cotización]],"MMMM")</f>
        <v>junio</v>
      </c>
      <c r="D139" s="144">
        <v>44351</v>
      </c>
      <c r="E139" s="174" t="str">
        <f>IF(data[[#This Row],[Estatus de 
Cotización]]="PERDIDO","N/A","")</f>
        <v>N/A</v>
      </c>
      <c r="F139" s="130"/>
      <c r="G139" s="86"/>
      <c r="H139" s="130"/>
      <c r="I139" s="86"/>
      <c r="J139" s="87">
        <v>3542</v>
      </c>
      <c r="K139" s="131" t="s">
        <v>1558</v>
      </c>
      <c r="L139" s="87"/>
      <c r="M139" s="105" t="s">
        <v>1920</v>
      </c>
      <c r="N139" s="87">
        <v>15</v>
      </c>
      <c r="O139" s="133"/>
      <c r="P139" s="134">
        <v>8.99</v>
      </c>
      <c r="Q139" s="135">
        <f>data[[#This Row],[Costo Producto
Proveedor ($/Unid)]]*data[[#This Row],[Cantidad]]</f>
        <v>0</v>
      </c>
      <c r="R139" s="135">
        <f>data[[#This Row],[Cantidad]]*data[[#This Row],[Precio de Venta Cliente ($/Unid)]]</f>
        <v>134.85</v>
      </c>
      <c r="S139" s="136"/>
      <c r="T139" s="86" t="s">
        <v>77</v>
      </c>
      <c r="U139" s="86"/>
      <c r="V139" s="137" t="s">
        <v>42</v>
      </c>
      <c r="W139" s="139" t="s">
        <v>42</v>
      </c>
      <c r="X139" s="87" t="s">
        <v>503</v>
      </c>
      <c r="Y139" s="87" t="s">
        <v>503</v>
      </c>
      <c r="Z139" s="87" t="s">
        <v>41</v>
      </c>
      <c r="AA139" s="86"/>
    </row>
    <row r="140" spans="1:27" s="105" customFormat="1" x14ac:dyDescent="0.25">
      <c r="A140" s="9"/>
      <c r="B140" s="130"/>
      <c r="C140" s="130" t="str">
        <f>TEXT(data[[#This Row],[Fecha de Envío
Cotización]],"MMMM")</f>
        <v>junio</v>
      </c>
      <c r="D140" s="144">
        <v>44351</v>
      </c>
      <c r="E140" s="174" t="str">
        <f>IF(data[[#This Row],[Estatus de 
Cotización]]="PERDIDO","N/A","")</f>
        <v>N/A</v>
      </c>
      <c r="F140" s="130"/>
      <c r="G140" s="86"/>
      <c r="H140" s="130"/>
      <c r="I140" s="86"/>
      <c r="J140" s="87">
        <v>3542</v>
      </c>
      <c r="K140" s="131" t="s">
        <v>1558</v>
      </c>
      <c r="L140" s="87"/>
      <c r="M140" s="105" t="s">
        <v>1921</v>
      </c>
      <c r="N140" s="87">
        <v>3</v>
      </c>
      <c r="O140" s="133"/>
      <c r="P140" s="134">
        <v>196.6</v>
      </c>
      <c r="Q140" s="135">
        <f>data[[#This Row],[Costo Producto
Proveedor ($/Unid)]]*data[[#This Row],[Cantidad]]</f>
        <v>0</v>
      </c>
      <c r="R140" s="135">
        <f>data[[#This Row],[Cantidad]]*data[[#This Row],[Precio de Venta Cliente ($/Unid)]]</f>
        <v>589.79999999999995</v>
      </c>
      <c r="S140" s="136"/>
      <c r="T140" s="86" t="s">
        <v>77</v>
      </c>
      <c r="U140" s="86"/>
      <c r="V140" s="137" t="s">
        <v>42</v>
      </c>
      <c r="W140" s="139" t="s">
        <v>42</v>
      </c>
      <c r="X140" s="87" t="s">
        <v>503</v>
      </c>
      <c r="Y140" s="87" t="s">
        <v>503</v>
      </c>
      <c r="Z140" s="87" t="s">
        <v>41</v>
      </c>
      <c r="AA140" s="86"/>
    </row>
    <row r="141" spans="1:27" s="105" customFormat="1" x14ac:dyDescent="0.25">
      <c r="A141" s="9"/>
      <c r="B141" s="130"/>
      <c r="C141" s="130" t="str">
        <f>TEXT(data[[#This Row],[Fecha de Envío
Cotización]],"MMMM")</f>
        <v>junio</v>
      </c>
      <c r="D141" s="144">
        <v>44354</v>
      </c>
      <c r="E141" s="174" t="str">
        <f>IF(data[[#This Row],[Estatus de 
Cotización]]="PERDIDO","N/A","")</f>
        <v/>
      </c>
      <c r="F141" s="130"/>
      <c r="G141" s="86"/>
      <c r="H141" s="130"/>
      <c r="I141" s="86"/>
      <c r="J141" s="87">
        <v>3543</v>
      </c>
      <c r="K141" s="131" t="s">
        <v>329</v>
      </c>
      <c r="L141" s="87"/>
      <c r="M141" s="105" t="s">
        <v>1971</v>
      </c>
      <c r="N141" s="87">
        <v>2</v>
      </c>
      <c r="O141" s="133"/>
      <c r="P141" s="134">
        <v>394.36</v>
      </c>
      <c r="Q141" s="135">
        <f>data[[#This Row],[Costo Producto
Proveedor ($/Unid)]]*data[[#This Row],[Cantidad]]</f>
        <v>0</v>
      </c>
      <c r="R141" s="135">
        <f>data[[#This Row],[Cantidad]]*data[[#This Row],[Precio de Venta Cliente ($/Unid)]]</f>
        <v>788.72</v>
      </c>
      <c r="S141" s="136"/>
      <c r="T141" s="86" t="s">
        <v>1571</v>
      </c>
      <c r="U141" s="86"/>
      <c r="V141" s="137" t="s">
        <v>46</v>
      </c>
      <c r="W141" s="139" t="s">
        <v>46</v>
      </c>
      <c r="X141" s="87" t="s">
        <v>503</v>
      </c>
      <c r="Y141" s="87" t="s">
        <v>503</v>
      </c>
      <c r="Z141" s="87" t="s">
        <v>41</v>
      </c>
      <c r="AA141" s="86"/>
    </row>
    <row r="142" spans="1:27" s="105" customFormat="1" x14ac:dyDescent="0.25">
      <c r="A142" s="9"/>
      <c r="B142" s="130"/>
      <c r="C142" s="130" t="str">
        <f>TEXT(data[[#This Row],[Fecha de Envío
Cotización]],"MMMM")</f>
        <v>junio</v>
      </c>
      <c r="D142" s="144">
        <v>44354</v>
      </c>
      <c r="E142" s="174" t="str">
        <f>IF(data[[#This Row],[Estatus de 
Cotización]]="PERDIDO","N/A","")</f>
        <v>N/A</v>
      </c>
      <c r="F142" s="130"/>
      <c r="G142" s="86"/>
      <c r="H142" s="130"/>
      <c r="I142" s="86"/>
      <c r="J142" s="87">
        <v>3544</v>
      </c>
      <c r="K142" s="131" t="s">
        <v>76</v>
      </c>
      <c r="L142" s="87"/>
      <c r="M142" s="105" t="s">
        <v>1988</v>
      </c>
      <c r="N142" s="87">
        <v>10</v>
      </c>
      <c r="O142" s="133"/>
      <c r="P142" s="134">
        <v>311.31</v>
      </c>
      <c r="Q142" s="135">
        <f>data[[#This Row],[Costo Producto
Proveedor ($/Unid)]]*data[[#This Row],[Cantidad]]</f>
        <v>0</v>
      </c>
      <c r="R142" s="135">
        <f>data[[#This Row],[Cantidad]]*data[[#This Row],[Precio de Venta Cliente ($/Unid)]]</f>
        <v>3113.1</v>
      </c>
      <c r="S142" s="136"/>
      <c r="T142" s="86" t="s">
        <v>419</v>
      </c>
      <c r="U142" s="86"/>
      <c r="V142" s="137" t="s">
        <v>42</v>
      </c>
      <c r="W142" s="139" t="s">
        <v>42</v>
      </c>
      <c r="X142" s="87" t="s">
        <v>503</v>
      </c>
      <c r="Y142" s="87" t="s">
        <v>503</v>
      </c>
      <c r="Z142" s="87" t="s">
        <v>41</v>
      </c>
      <c r="AA142" s="86"/>
    </row>
    <row r="143" spans="1:27" s="105" customFormat="1" x14ac:dyDescent="0.25">
      <c r="A143" s="9"/>
      <c r="B143" s="130"/>
      <c r="C143" s="130" t="str">
        <f>TEXT(data[[#This Row],[Fecha de Envío
Cotización]],"MMMM")</f>
        <v>junio</v>
      </c>
      <c r="D143" s="144">
        <v>44356</v>
      </c>
      <c r="E143" s="174" t="str">
        <f>IF(data[[#This Row],[Estatus de 
Cotización]]="PERDIDO","N/A","")</f>
        <v/>
      </c>
      <c r="F143" s="130"/>
      <c r="G143" s="86"/>
      <c r="H143" s="130"/>
      <c r="I143" s="86">
        <v>963258</v>
      </c>
      <c r="J143" s="87">
        <v>750</v>
      </c>
      <c r="K143" s="131" t="s">
        <v>76</v>
      </c>
      <c r="L143" s="87"/>
      <c r="M143" s="105" t="s">
        <v>2012</v>
      </c>
      <c r="N143" s="87">
        <v>1</v>
      </c>
      <c r="O143" s="133"/>
      <c r="P143" s="134">
        <v>874.43</v>
      </c>
      <c r="Q143" s="135">
        <f>data[[#This Row],[Costo Producto
Proveedor ($/Unid)]]*data[[#This Row],[Cantidad]]</f>
        <v>0</v>
      </c>
      <c r="R143" s="135">
        <f>data[[#This Row],[Cantidad]]*data[[#This Row],[Precio de Venta Cliente ($/Unid)]]</f>
        <v>874.43</v>
      </c>
      <c r="S143" s="136"/>
      <c r="T143" s="86" t="s">
        <v>73</v>
      </c>
      <c r="U143" s="86"/>
      <c r="V143" s="137" t="s">
        <v>46</v>
      </c>
      <c r="W143" s="139" t="s">
        <v>46</v>
      </c>
      <c r="X143" s="87" t="s">
        <v>503</v>
      </c>
      <c r="Y143" s="87" t="s">
        <v>503</v>
      </c>
      <c r="Z143" s="87" t="s">
        <v>41</v>
      </c>
      <c r="AA143" s="86"/>
    </row>
    <row r="144" spans="1:27" s="105" customFormat="1" x14ac:dyDescent="0.25">
      <c r="A144" s="9"/>
      <c r="B144" s="130"/>
      <c r="C144" s="130" t="str">
        <f>TEXT(data[[#This Row],[Fecha de Envío
Cotización]],"MMMM")</f>
        <v>junio</v>
      </c>
      <c r="D144" s="144">
        <v>44356</v>
      </c>
      <c r="E144" s="174"/>
      <c r="F144" s="130"/>
      <c r="G144" s="86"/>
      <c r="H144" s="130"/>
      <c r="I144" s="86">
        <v>444444</v>
      </c>
      <c r="J144" s="87">
        <v>752</v>
      </c>
      <c r="K144" s="131" t="s">
        <v>76</v>
      </c>
      <c r="L144" s="87"/>
      <c r="M144" s="105" t="s">
        <v>2015</v>
      </c>
      <c r="N144" s="87">
        <v>20</v>
      </c>
      <c r="O144" s="133"/>
      <c r="P144" s="134">
        <v>10.38</v>
      </c>
      <c r="Q144" s="135">
        <f>data[[#This Row],[Costo Producto
Proveedor ($/Unid)]]*data[[#This Row],[Cantidad]]</f>
        <v>0</v>
      </c>
      <c r="R144" s="135">
        <f>data[[#This Row],[Cantidad]]*data[[#This Row],[Precio de Venta Cliente ($/Unid)]]</f>
        <v>207.60000000000002</v>
      </c>
      <c r="S144" s="136"/>
      <c r="T144" s="86" t="s">
        <v>73</v>
      </c>
      <c r="U144" s="86"/>
      <c r="V144" s="137" t="s">
        <v>46</v>
      </c>
      <c r="W144" s="139" t="s">
        <v>46</v>
      </c>
      <c r="X144" s="87" t="s">
        <v>503</v>
      </c>
      <c r="Y144" s="87" t="s">
        <v>503</v>
      </c>
      <c r="Z144" s="87" t="s">
        <v>41</v>
      </c>
      <c r="AA144" s="86"/>
    </row>
    <row r="145" spans="1:27" s="105" customFormat="1" x14ac:dyDescent="0.25">
      <c r="A145" s="9"/>
      <c r="B145" s="130"/>
      <c r="C145" s="130" t="str">
        <f>TEXT(data[[#This Row],[Fecha de Envío
Cotización]],"MMMM")</f>
        <v>junio</v>
      </c>
      <c r="D145" s="144">
        <v>44356</v>
      </c>
      <c r="E145" s="174"/>
      <c r="F145" s="130"/>
      <c r="G145" s="86"/>
      <c r="H145" s="130"/>
      <c r="I145" s="86">
        <v>555555</v>
      </c>
      <c r="J145" s="87">
        <v>752</v>
      </c>
      <c r="K145" s="131" t="s">
        <v>76</v>
      </c>
      <c r="L145" s="87"/>
      <c r="M145" s="105" t="s">
        <v>2016</v>
      </c>
      <c r="N145" s="87">
        <v>20</v>
      </c>
      <c r="O145" s="133"/>
      <c r="P145" s="134">
        <v>11.04</v>
      </c>
      <c r="Q145" s="135">
        <f>data[[#This Row],[Costo Producto
Proveedor ($/Unid)]]*data[[#This Row],[Cantidad]]</f>
        <v>0</v>
      </c>
      <c r="R145" s="135">
        <f>data[[#This Row],[Cantidad]]*data[[#This Row],[Precio de Venta Cliente ($/Unid)]]</f>
        <v>220.79999999999998</v>
      </c>
      <c r="S145" s="136"/>
      <c r="T145" s="86" t="s">
        <v>73</v>
      </c>
      <c r="U145" s="86"/>
      <c r="V145" s="137" t="s">
        <v>46</v>
      </c>
      <c r="W145" s="139" t="s">
        <v>46</v>
      </c>
      <c r="X145" s="87" t="s">
        <v>503</v>
      </c>
      <c r="Y145" s="87" t="s">
        <v>503</v>
      </c>
      <c r="Z145" s="87" t="s">
        <v>41</v>
      </c>
      <c r="AA145" s="86"/>
    </row>
    <row r="146" spans="1:27" s="105" customFormat="1" x14ac:dyDescent="0.25">
      <c r="A146" s="9"/>
      <c r="B146" s="130"/>
      <c r="C146" s="130" t="str">
        <f>TEXT(data[[#This Row],[Fecha de Envío
Cotización]],"MMMM")</f>
        <v>junio</v>
      </c>
      <c r="D146" s="144">
        <v>44361</v>
      </c>
      <c r="E146" s="174"/>
      <c r="F146" s="130"/>
      <c r="G146" s="86"/>
      <c r="H146" s="130"/>
      <c r="I146" s="86"/>
      <c r="J146" s="87">
        <v>3547</v>
      </c>
      <c r="K146" s="131" t="s">
        <v>2072</v>
      </c>
      <c r="L146" s="87"/>
      <c r="M146" s="105" t="s">
        <v>2073</v>
      </c>
      <c r="N146" s="87">
        <v>1</v>
      </c>
      <c r="O146" s="133"/>
      <c r="P146" s="134">
        <v>149.99</v>
      </c>
      <c r="Q146" s="135">
        <f>data[[#This Row],[Costo Producto
Proveedor ($/Unid)]]*data[[#This Row],[Cantidad]]</f>
        <v>0</v>
      </c>
      <c r="R146" s="135">
        <f>data[[#This Row],[Cantidad]]*data[[#This Row],[Precio de Venta Cliente ($/Unid)]]</f>
        <v>149.99</v>
      </c>
      <c r="S146" s="136"/>
      <c r="T146" s="86" t="s">
        <v>926</v>
      </c>
      <c r="U146" s="86"/>
      <c r="V146" s="137" t="s">
        <v>46</v>
      </c>
      <c r="W146" s="139" t="s">
        <v>46</v>
      </c>
      <c r="X146" s="87" t="s">
        <v>503</v>
      </c>
      <c r="Y146" s="87" t="s">
        <v>503</v>
      </c>
      <c r="Z146" s="87" t="s">
        <v>41</v>
      </c>
      <c r="AA146" s="86"/>
    </row>
    <row r="147" spans="1:27" s="105" customFormat="1" x14ac:dyDescent="0.25">
      <c r="A147" s="9"/>
      <c r="B147" s="130"/>
      <c r="C147" s="130" t="str">
        <f>TEXT(data[[#This Row],[Fecha de Envío
Cotización]],"MMMM")</f>
        <v>junio</v>
      </c>
      <c r="D147" s="144">
        <v>44361</v>
      </c>
      <c r="E147" s="174"/>
      <c r="F147" s="130"/>
      <c r="G147" s="86"/>
      <c r="H147" s="130"/>
      <c r="I147" s="86"/>
      <c r="J147" s="87">
        <v>3547</v>
      </c>
      <c r="K147" s="131" t="s">
        <v>2072</v>
      </c>
      <c r="L147" s="87"/>
      <c r="M147" s="105" t="s">
        <v>2074</v>
      </c>
      <c r="N147" s="87">
        <v>1</v>
      </c>
      <c r="O147" s="133"/>
      <c r="P147" s="134">
        <v>108.65</v>
      </c>
      <c r="Q147" s="135">
        <f>data[[#This Row],[Costo Producto
Proveedor ($/Unid)]]*data[[#This Row],[Cantidad]]</f>
        <v>0</v>
      </c>
      <c r="R147" s="135">
        <f>data[[#This Row],[Cantidad]]*data[[#This Row],[Precio de Venta Cliente ($/Unid)]]</f>
        <v>108.65</v>
      </c>
      <c r="S147" s="136"/>
      <c r="T147" s="86" t="s">
        <v>926</v>
      </c>
      <c r="U147" s="86"/>
      <c r="V147" s="137" t="s">
        <v>46</v>
      </c>
      <c r="W147" s="139" t="s">
        <v>46</v>
      </c>
      <c r="X147" s="87" t="s">
        <v>503</v>
      </c>
      <c r="Y147" s="87" t="s">
        <v>503</v>
      </c>
      <c r="Z147" s="87" t="s">
        <v>41</v>
      </c>
      <c r="AA147" s="86"/>
    </row>
    <row r="148" spans="1:27" s="105" customFormat="1" x14ac:dyDescent="0.25">
      <c r="A148" s="9"/>
      <c r="B148" s="130"/>
      <c r="C148" s="130" t="str">
        <f>TEXT(data[[#This Row],[Fecha de Envío
Cotización]],"MMMM")</f>
        <v>junio</v>
      </c>
      <c r="D148" s="144">
        <v>44361</v>
      </c>
      <c r="E148" s="174">
        <v>44362</v>
      </c>
      <c r="F148" s="130">
        <v>44363</v>
      </c>
      <c r="G148" s="86">
        <v>4501508116</v>
      </c>
      <c r="H148" s="130">
        <v>44362</v>
      </c>
      <c r="I148" s="86">
        <v>6598883</v>
      </c>
      <c r="J148" s="87">
        <v>3548</v>
      </c>
      <c r="K148" s="131" t="s">
        <v>76</v>
      </c>
      <c r="L148" s="87"/>
      <c r="M148" s="105" t="s">
        <v>2075</v>
      </c>
      <c r="N148" s="87">
        <v>5</v>
      </c>
      <c r="O148" s="133"/>
      <c r="P148" s="134">
        <v>35.94</v>
      </c>
      <c r="Q148" s="135">
        <f>data[[#This Row],[Costo Producto
Proveedor ($/Unid)]]*data[[#This Row],[Cantidad]]</f>
        <v>0</v>
      </c>
      <c r="R148" s="135">
        <f>data[[#This Row],[Cantidad]]*data[[#This Row],[Precio de Venta Cliente ($/Unid)]]</f>
        <v>179.7</v>
      </c>
      <c r="S148" s="136"/>
      <c r="T148" s="86" t="s">
        <v>1571</v>
      </c>
      <c r="U148" s="86"/>
      <c r="V148" s="137" t="s">
        <v>44</v>
      </c>
      <c r="W148" s="139" t="s">
        <v>44</v>
      </c>
      <c r="X148" s="87" t="s">
        <v>45</v>
      </c>
      <c r="Y148" s="87" t="s">
        <v>503</v>
      </c>
      <c r="Z148" s="87" t="s">
        <v>41</v>
      </c>
      <c r="AA148" s="86"/>
    </row>
    <row r="149" spans="1:27" s="105" customFormat="1" x14ac:dyDescent="0.25">
      <c r="A149" s="9"/>
      <c r="B149" s="130"/>
      <c r="C149" s="130" t="str">
        <f>TEXT(data[[#This Row],[Fecha de Envío
Cotización]],"MMMM")</f>
        <v>junio</v>
      </c>
      <c r="D149" s="144">
        <v>44361</v>
      </c>
      <c r="E149" s="174"/>
      <c r="F149" s="130"/>
      <c r="G149" s="86"/>
      <c r="H149" s="130"/>
      <c r="I149" s="87">
        <v>12541254</v>
      </c>
      <c r="J149" s="87">
        <v>778</v>
      </c>
      <c r="K149" s="131" t="s">
        <v>76</v>
      </c>
      <c r="L149" s="87"/>
      <c r="M149" s="105" t="s">
        <v>2097</v>
      </c>
      <c r="N149" s="87">
        <v>1</v>
      </c>
      <c r="O149" s="133"/>
      <c r="P149" s="134">
        <v>27454.87</v>
      </c>
      <c r="Q149" s="135">
        <f>data[[#This Row],[Costo Producto
Proveedor ($/Unid)]]*data[[#This Row],[Cantidad]]</f>
        <v>0</v>
      </c>
      <c r="R149" s="135">
        <f>data[[#This Row],[Cantidad]]*data[[#This Row],[Precio de Venta Cliente ($/Unid)]]</f>
        <v>27454.87</v>
      </c>
      <c r="S149" s="136"/>
      <c r="T149" s="86" t="s">
        <v>124</v>
      </c>
      <c r="U149" s="86"/>
      <c r="V149" s="137" t="s">
        <v>473</v>
      </c>
      <c r="W149" s="139" t="s">
        <v>473</v>
      </c>
      <c r="X149" s="87" t="s">
        <v>473</v>
      </c>
      <c r="Y149" s="87" t="s">
        <v>473</v>
      </c>
      <c r="Z149" s="87" t="s">
        <v>41</v>
      </c>
      <c r="AA149" s="110" t="s">
        <v>2580</v>
      </c>
    </row>
    <row r="150" spans="1:27" s="105" customFormat="1" x14ac:dyDescent="0.25">
      <c r="A150" s="9"/>
      <c r="B150" s="130"/>
      <c r="C150" s="130" t="str">
        <f>TEXT(data[[#This Row],[Fecha de Envío
Cotización]],"MMMM")</f>
        <v>junio</v>
      </c>
      <c r="D150" s="144">
        <v>44362</v>
      </c>
      <c r="E150" s="174">
        <v>44365</v>
      </c>
      <c r="F150" s="130"/>
      <c r="G150" s="86"/>
      <c r="H150" s="130">
        <v>44369</v>
      </c>
      <c r="I150" s="86"/>
      <c r="J150" s="87">
        <v>3552</v>
      </c>
      <c r="K150" s="131" t="s">
        <v>76</v>
      </c>
      <c r="L150" s="87"/>
      <c r="M150" s="105" t="s">
        <v>2359</v>
      </c>
      <c r="N150" s="87">
        <v>4</v>
      </c>
      <c r="O150" s="133"/>
      <c r="P150" s="134">
        <v>148.58000000000001</v>
      </c>
      <c r="Q150" s="135">
        <f>data[[#This Row],[Costo Producto
Proveedor ($/Unid)]]*data[[#This Row],[Cantidad]]</f>
        <v>0</v>
      </c>
      <c r="R150" s="135">
        <f>data[[#This Row],[Cantidad]]*data[[#This Row],[Precio de Venta Cliente ($/Unid)]]</f>
        <v>594.32000000000005</v>
      </c>
      <c r="S150" s="136"/>
      <c r="T150" s="86" t="s">
        <v>77</v>
      </c>
      <c r="U150" s="86"/>
      <c r="V150" s="137" t="s">
        <v>44</v>
      </c>
      <c r="W150" s="139" t="s">
        <v>44</v>
      </c>
      <c r="X150" s="87" t="s">
        <v>503</v>
      </c>
      <c r="Y150" s="87" t="s">
        <v>503</v>
      </c>
      <c r="Z150" s="87" t="s">
        <v>41</v>
      </c>
      <c r="AA150" s="86" t="s">
        <v>2360</v>
      </c>
    </row>
    <row r="151" spans="1:27" s="105" customFormat="1" x14ac:dyDescent="0.25">
      <c r="A151" s="9"/>
      <c r="B151" s="130"/>
      <c r="C151" s="130" t="str">
        <f>TEXT(data[[#This Row],[Fecha de Envío
Cotización]],"MMMM")</f>
        <v>junio</v>
      </c>
      <c r="D151" s="144">
        <v>44363</v>
      </c>
      <c r="E151" s="174"/>
      <c r="F151" s="130"/>
      <c r="G151" s="86"/>
      <c r="H151" s="130"/>
      <c r="I151" s="86"/>
      <c r="J151" s="87">
        <v>3550</v>
      </c>
      <c r="K151" s="131" t="s">
        <v>2245</v>
      </c>
      <c r="L151" s="87"/>
      <c r="M151" s="105" t="s">
        <v>2246</v>
      </c>
      <c r="N151" s="87">
        <v>1</v>
      </c>
      <c r="O151" s="133"/>
      <c r="P151" s="134">
        <v>350.75</v>
      </c>
      <c r="Q151" s="135">
        <f>data[[#This Row],[Costo Producto
Proveedor ($/Unid)]]*data[[#This Row],[Cantidad]]</f>
        <v>0</v>
      </c>
      <c r="R151" s="135">
        <f>data[[#This Row],[Cantidad]]*data[[#This Row],[Precio de Venta Cliente ($/Unid)]]</f>
        <v>350.75</v>
      </c>
      <c r="S151" s="136"/>
      <c r="T151" s="86" t="s">
        <v>73</v>
      </c>
      <c r="U151" s="86"/>
      <c r="V151" s="137" t="s">
        <v>46</v>
      </c>
      <c r="W151" s="139" t="s">
        <v>46</v>
      </c>
      <c r="X151" s="87" t="s">
        <v>503</v>
      </c>
      <c r="Y151" s="87" t="s">
        <v>503</v>
      </c>
      <c r="Z151" s="87" t="s">
        <v>41</v>
      </c>
      <c r="AA151" s="86"/>
    </row>
    <row r="152" spans="1:27" s="105" customFormat="1" x14ac:dyDescent="0.25">
      <c r="A152" s="9"/>
      <c r="B152" s="130"/>
      <c r="C152" s="130" t="str">
        <f>TEXT(data[[#This Row],[Fecha de Envío
Cotización]],"MMMM")</f>
        <v>junio</v>
      </c>
      <c r="D152" s="144">
        <v>44371</v>
      </c>
      <c r="E152" s="174"/>
      <c r="F152" s="130"/>
      <c r="G152" s="86"/>
      <c r="H152" s="130"/>
      <c r="I152" s="86"/>
      <c r="J152" s="87">
        <v>3553</v>
      </c>
      <c r="K152" s="131" t="s">
        <v>1766</v>
      </c>
      <c r="L152" s="87"/>
      <c r="M152" s="105" t="s">
        <v>2402</v>
      </c>
      <c r="N152" s="87">
        <v>1</v>
      </c>
      <c r="O152" s="133"/>
      <c r="P152" s="134">
        <v>2756.63</v>
      </c>
      <c r="Q152" s="135">
        <f>data[[#This Row],[Costo Producto
Proveedor ($/Unid)]]*data[[#This Row],[Cantidad]]</f>
        <v>0</v>
      </c>
      <c r="R152" s="135">
        <f>data[[#This Row],[Cantidad]]*data[[#This Row],[Precio de Venta Cliente ($/Unid)]]</f>
        <v>2756.63</v>
      </c>
      <c r="S152" s="136"/>
      <c r="T152" s="86" t="s">
        <v>16</v>
      </c>
      <c r="U152" s="86"/>
      <c r="V152" s="137" t="s">
        <v>46</v>
      </c>
      <c r="W152" s="139" t="s">
        <v>46</v>
      </c>
      <c r="X152" s="87" t="s">
        <v>503</v>
      </c>
      <c r="Y152" s="87" t="s">
        <v>503</v>
      </c>
      <c r="Z152" s="87" t="s">
        <v>41</v>
      </c>
      <c r="AA152" s="86"/>
    </row>
    <row r="153" spans="1:27" s="105" customFormat="1" x14ac:dyDescent="0.25">
      <c r="A153" s="9"/>
      <c r="B153" s="130"/>
      <c r="C153" s="130" t="str">
        <f>TEXT(data[[#This Row],[Fecha de Envío
Cotización]],"MMMM")</f>
        <v>junio</v>
      </c>
      <c r="D153" s="144">
        <v>44371</v>
      </c>
      <c r="E153" s="174"/>
      <c r="F153" s="130"/>
      <c r="G153" s="86"/>
      <c r="H153" s="130"/>
      <c r="I153" s="86"/>
      <c r="J153" s="87">
        <v>3554</v>
      </c>
      <c r="K153" s="131" t="s">
        <v>2412</v>
      </c>
      <c r="L153" s="87"/>
      <c r="M153" s="105" t="s">
        <v>2413</v>
      </c>
      <c r="N153" s="87">
        <v>1</v>
      </c>
      <c r="O153" s="133"/>
      <c r="P153" s="134">
        <v>902</v>
      </c>
      <c r="Q153" s="135">
        <f>data[[#This Row],[Costo Producto
Proveedor ($/Unid)]]*data[[#This Row],[Cantidad]]</f>
        <v>0</v>
      </c>
      <c r="R153" s="135">
        <f>data[[#This Row],[Cantidad]]*data[[#This Row],[Precio de Venta Cliente ($/Unid)]]</f>
        <v>902</v>
      </c>
      <c r="S153" s="136"/>
      <c r="T153" s="86" t="s">
        <v>73</v>
      </c>
      <c r="U153" s="86"/>
      <c r="V153" s="137" t="s">
        <v>46</v>
      </c>
      <c r="W153" s="139" t="s">
        <v>46</v>
      </c>
      <c r="X153" s="87" t="s">
        <v>503</v>
      </c>
      <c r="Y153" s="87" t="s">
        <v>503</v>
      </c>
      <c r="Z153" s="87" t="s">
        <v>41</v>
      </c>
      <c r="AA153" s="86"/>
    </row>
    <row r="154" spans="1:27" s="105" customFormat="1" x14ac:dyDescent="0.25">
      <c r="A154" s="9"/>
      <c r="B154" s="130"/>
      <c r="C154" s="130" t="str">
        <f>TEXT(data[[#This Row],[Fecha de Envío
Cotización]],"MMMM")</f>
        <v>junio</v>
      </c>
      <c r="D154" s="144">
        <v>44372</v>
      </c>
      <c r="E154" s="174"/>
      <c r="F154" s="130"/>
      <c r="G154" s="86"/>
      <c r="H154" s="130"/>
      <c r="I154" s="86"/>
      <c r="J154" s="87">
        <v>3555</v>
      </c>
      <c r="K154" s="131" t="s">
        <v>76</v>
      </c>
      <c r="L154" s="87"/>
      <c r="M154" s="105" t="s">
        <v>2442</v>
      </c>
      <c r="N154" s="87">
        <v>1</v>
      </c>
      <c r="O154" s="133"/>
      <c r="P154" s="134">
        <v>1357.81</v>
      </c>
      <c r="Q154" s="135">
        <f>data[[#This Row],[Costo Producto
Proveedor ($/Unid)]]*data[[#This Row],[Cantidad]]</f>
        <v>0</v>
      </c>
      <c r="R154" s="135">
        <f>data[[#This Row],[Cantidad]]*data[[#This Row],[Precio de Venta Cliente ($/Unid)]]</f>
        <v>1357.81</v>
      </c>
      <c r="S154" s="136"/>
      <c r="T154" s="86" t="s">
        <v>73</v>
      </c>
      <c r="U154" s="86"/>
      <c r="V154" s="137" t="s">
        <v>42</v>
      </c>
      <c r="W154" s="139" t="s">
        <v>42</v>
      </c>
      <c r="X154" s="87" t="s">
        <v>503</v>
      </c>
      <c r="Y154" s="87" t="s">
        <v>503</v>
      </c>
      <c r="Z154" s="87" t="s">
        <v>41</v>
      </c>
      <c r="AA154" s="86"/>
    </row>
    <row r="155" spans="1:27" s="105" customFormat="1" x14ac:dyDescent="0.25">
      <c r="A155" s="9"/>
      <c r="B155" s="130"/>
      <c r="C155" s="130" t="str">
        <f>TEXT(data[[#This Row],[Fecha de Envío
Cotización]],"MMMM")</f>
        <v>junio</v>
      </c>
      <c r="D155" s="144">
        <v>44372</v>
      </c>
      <c r="E155" s="174">
        <v>44376</v>
      </c>
      <c r="F155" s="130"/>
      <c r="G155" s="86">
        <v>7331562302</v>
      </c>
      <c r="H155" s="130">
        <v>44376</v>
      </c>
      <c r="I155" s="86"/>
      <c r="J155" s="87">
        <v>3556</v>
      </c>
      <c r="K155" s="131" t="s">
        <v>76</v>
      </c>
      <c r="L155" s="87"/>
      <c r="M155" s="105" t="s">
        <v>2443</v>
      </c>
      <c r="N155" s="87">
        <v>1</v>
      </c>
      <c r="O155" s="133"/>
      <c r="P155" s="134">
        <v>253.6</v>
      </c>
      <c r="Q155" s="135">
        <f>data[[#This Row],[Costo Producto
Proveedor ($/Unid)]]*data[[#This Row],[Cantidad]]</f>
        <v>0</v>
      </c>
      <c r="R155" s="135">
        <f>data[[#This Row],[Cantidad]]*data[[#This Row],[Precio de Venta Cliente ($/Unid)]]</f>
        <v>253.6</v>
      </c>
      <c r="S155" s="136"/>
      <c r="T155" s="86" t="s">
        <v>73</v>
      </c>
      <c r="U155" s="86"/>
      <c r="V155" s="137" t="s">
        <v>44</v>
      </c>
      <c r="W155" s="139" t="s">
        <v>44</v>
      </c>
      <c r="X155" s="87" t="s">
        <v>503</v>
      </c>
      <c r="Y155" s="87" t="s">
        <v>503</v>
      </c>
      <c r="Z155" s="87" t="s">
        <v>41</v>
      </c>
      <c r="AA155" s="86"/>
    </row>
    <row r="156" spans="1:27" s="105" customFormat="1" x14ac:dyDescent="0.25">
      <c r="A156" s="9"/>
      <c r="B156" s="130"/>
      <c r="C156" s="130" t="str">
        <f>TEXT(data[[#This Row],[Fecha de Envío
Cotización]],"MMMM")</f>
        <v>junio</v>
      </c>
      <c r="D156" s="144">
        <v>44376</v>
      </c>
      <c r="E156" s="174">
        <v>44377</v>
      </c>
      <c r="F156" s="130"/>
      <c r="G156" s="86">
        <v>414438</v>
      </c>
      <c r="H156" s="130">
        <v>44377</v>
      </c>
      <c r="I156" s="86"/>
      <c r="J156" s="87">
        <v>3557</v>
      </c>
      <c r="K156" s="131" t="s">
        <v>416</v>
      </c>
      <c r="L156" s="87"/>
      <c r="M156" s="105" t="s">
        <v>2541</v>
      </c>
      <c r="N156" s="87">
        <v>3</v>
      </c>
      <c r="O156" s="133"/>
      <c r="P156" s="134">
        <v>139.19999999999999</v>
      </c>
      <c r="Q156" s="135">
        <f>data[[#This Row],[Costo Producto
Proveedor ($/Unid)]]*data[[#This Row],[Cantidad]]</f>
        <v>0</v>
      </c>
      <c r="R156" s="135">
        <f>data[[#This Row],[Cantidad]]*data[[#This Row],[Precio de Venta Cliente ($/Unid)]]</f>
        <v>417.59999999999997</v>
      </c>
      <c r="S156" s="136"/>
      <c r="T156" s="86" t="s">
        <v>73</v>
      </c>
      <c r="U156" s="86"/>
      <c r="V156" s="137" t="s">
        <v>44</v>
      </c>
      <c r="W156" s="139" t="s">
        <v>44</v>
      </c>
      <c r="X156" s="87" t="s">
        <v>503</v>
      </c>
      <c r="Y156" s="87" t="s">
        <v>503</v>
      </c>
      <c r="Z156" s="87" t="s">
        <v>41</v>
      </c>
      <c r="AA156" s="86"/>
    </row>
    <row r="157" spans="1:27" s="105" customFormat="1" x14ac:dyDescent="0.25">
      <c r="A157" s="9"/>
      <c r="B157" s="130"/>
      <c r="C157" s="130" t="str">
        <f>TEXT(data[[#This Row],[Fecha de Envío
Cotización]],"MMMM")</f>
        <v>junio</v>
      </c>
      <c r="D157" s="144">
        <v>44376</v>
      </c>
      <c r="E157" s="174"/>
      <c r="F157" s="130"/>
      <c r="G157" s="86"/>
      <c r="H157" s="130"/>
      <c r="I157" s="86"/>
      <c r="J157" s="87">
        <v>3558</v>
      </c>
      <c r="K157" s="131" t="s">
        <v>76</v>
      </c>
      <c r="L157" s="87"/>
      <c r="M157" s="105" t="s">
        <v>2573</v>
      </c>
      <c r="N157" s="87">
        <v>2</v>
      </c>
      <c r="O157" s="133"/>
      <c r="P157" s="134">
        <v>951.88</v>
      </c>
      <c r="Q157" s="135">
        <f>data[[#This Row],[Costo Producto
Proveedor ($/Unid)]]*data[[#This Row],[Cantidad]]</f>
        <v>0</v>
      </c>
      <c r="R157" s="135">
        <f>data[[#This Row],[Cantidad]]*data[[#This Row],[Precio de Venta Cliente ($/Unid)]]</f>
        <v>1903.76</v>
      </c>
      <c r="S157" s="136"/>
      <c r="T157" s="86" t="s">
        <v>2578</v>
      </c>
      <c r="U157" s="86"/>
      <c r="V157" s="137" t="s">
        <v>46</v>
      </c>
      <c r="W157" s="139" t="s">
        <v>46</v>
      </c>
      <c r="X157" s="87" t="s">
        <v>503</v>
      </c>
      <c r="Y157" s="87" t="s">
        <v>503</v>
      </c>
      <c r="Z157" s="87" t="s">
        <v>41</v>
      </c>
      <c r="AA157" s="86"/>
    </row>
    <row r="158" spans="1:27" s="105" customFormat="1" x14ac:dyDescent="0.25">
      <c r="A158" s="9"/>
      <c r="B158" s="130"/>
      <c r="C158" s="130" t="str">
        <f>TEXT(data[[#This Row],[Fecha de Envío
Cotización]],"MMMM")</f>
        <v>junio</v>
      </c>
      <c r="D158" s="144">
        <v>44376</v>
      </c>
      <c r="E158" s="174"/>
      <c r="F158" s="130"/>
      <c r="G158" s="86"/>
      <c r="H158" s="130"/>
      <c r="I158" s="86"/>
      <c r="J158" s="87">
        <v>3558</v>
      </c>
      <c r="K158" s="131" t="s">
        <v>76</v>
      </c>
      <c r="L158" s="87"/>
      <c r="M158" s="105" t="s">
        <v>2574</v>
      </c>
      <c r="N158" s="87">
        <v>3</v>
      </c>
      <c r="O158" s="133"/>
      <c r="P158" s="134">
        <v>216.42</v>
      </c>
      <c r="Q158" s="135">
        <f>data[[#This Row],[Costo Producto
Proveedor ($/Unid)]]*data[[#This Row],[Cantidad]]</f>
        <v>0</v>
      </c>
      <c r="R158" s="135">
        <f>data[[#This Row],[Cantidad]]*data[[#This Row],[Precio de Venta Cliente ($/Unid)]]</f>
        <v>649.26</v>
      </c>
      <c r="S158" s="136"/>
      <c r="T158" s="86" t="s">
        <v>1571</v>
      </c>
      <c r="U158" s="86"/>
      <c r="V158" s="137" t="s">
        <v>46</v>
      </c>
      <c r="W158" s="139" t="s">
        <v>46</v>
      </c>
      <c r="X158" s="87" t="s">
        <v>503</v>
      </c>
      <c r="Y158" s="87" t="s">
        <v>503</v>
      </c>
      <c r="Z158" s="87" t="s">
        <v>41</v>
      </c>
      <c r="AA158" s="86"/>
    </row>
    <row r="159" spans="1:27" s="105" customFormat="1" x14ac:dyDescent="0.25">
      <c r="A159" s="9"/>
      <c r="B159" s="130"/>
      <c r="C159" s="130" t="str">
        <f>TEXT(data[[#This Row],[Fecha de Envío
Cotización]],"MMMM")</f>
        <v>junio</v>
      </c>
      <c r="D159" s="144">
        <v>44376</v>
      </c>
      <c r="E159" s="174"/>
      <c r="F159" s="130"/>
      <c r="G159" s="86"/>
      <c r="H159" s="130"/>
      <c r="I159" s="86"/>
      <c r="J159" s="87">
        <v>3558</v>
      </c>
      <c r="K159" s="131" t="s">
        <v>76</v>
      </c>
      <c r="L159" s="87"/>
      <c r="M159" s="105" t="s">
        <v>2575</v>
      </c>
      <c r="N159" s="87">
        <v>4</v>
      </c>
      <c r="O159" s="133"/>
      <c r="P159" s="134">
        <v>442.65</v>
      </c>
      <c r="Q159" s="135">
        <f>data[[#This Row],[Costo Producto
Proveedor ($/Unid)]]*data[[#This Row],[Cantidad]]</f>
        <v>0</v>
      </c>
      <c r="R159" s="135">
        <f>data[[#This Row],[Cantidad]]*data[[#This Row],[Precio de Venta Cliente ($/Unid)]]</f>
        <v>1770.6</v>
      </c>
      <c r="S159" s="136"/>
      <c r="T159" s="86" t="s">
        <v>1571</v>
      </c>
      <c r="U159" s="86"/>
      <c r="V159" s="137" t="s">
        <v>46</v>
      </c>
      <c r="W159" s="139" t="s">
        <v>46</v>
      </c>
      <c r="X159" s="87" t="s">
        <v>503</v>
      </c>
      <c r="Y159" s="87" t="s">
        <v>503</v>
      </c>
      <c r="Z159" s="87" t="s">
        <v>41</v>
      </c>
      <c r="AA159" s="86"/>
    </row>
    <row r="160" spans="1:27" s="105" customFormat="1" x14ac:dyDescent="0.25">
      <c r="A160" s="9"/>
      <c r="B160" s="130"/>
      <c r="C160" s="130" t="str">
        <f>TEXT(data[[#This Row],[Fecha de Envío
Cotización]],"MMMM")</f>
        <v>junio</v>
      </c>
      <c r="D160" s="144">
        <v>44376</v>
      </c>
      <c r="E160" s="174"/>
      <c r="F160" s="130"/>
      <c r="G160" s="86"/>
      <c r="H160" s="130"/>
      <c r="I160" s="86"/>
      <c r="J160" s="87">
        <v>3558</v>
      </c>
      <c r="K160" s="131" t="s">
        <v>76</v>
      </c>
      <c r="L160" s="87"/>
      <c r="M160" s="105" t="s">
        <v>2576</v>
      </c>
      <c r="N160" s="87">
        <v>2</v>
      </c>
      <c r="O160" s="133"/>
      <c r="P160" s="134">
        <v>914.74</v>
      </c>
      <c r="Q160" s="135">
        <f>data[[#This Row],[Costo Producto
Proveedor ($/Unid)]]*data[[#This Row],[Cantidad]]</f>
        <v>0</v>
      </c>
      <c r="R160" s="135">
        <f>data[[#This Row],[Cantidad]]*data[[#This Row],[Precio de Venta Cliente ($/Unid)]]</f>
        <v>1829.48</v>
      </c>
      <c r="S160" s="136"/>
      <c r="T160" s="86" t="s">
        <v>1571</v>
      </c>
      <c r="U160" s="86"/>
      <c r="V160" s="137" t="s">
        <v>46</v>
      </c>
      <c r="W160" s="139" t="s">
        <v>46</v>
      </c>
      <c r="X160" s="87" t="s">
        <v>503</v>
      </c>
      <c r="Y160" s="87" t="s">
        <v>503</v>
      </c>
      <c r="Z160" s="87" t="s">
        <v>41</v>
      </c>
      <c r="AA160" s="86"/>
    </row>
    <row r="161" spans="1:27" s="105" customFormat="1" x14ac:dyDescent="0.25">
      <c r="A161" s="9"/>
      <c r="B161" s="130"/>
      <c r="C161" s="130" t="str">
        <f>TEXT(data[[#This Row],[Fecha de Envío
Cotización]],"MMMM")</f>
        <v>junio</v>
      </c>
      <c r="D161" s="144">
        <v>44376</v>
      </c>
      <c r="E161" s="174"/>
      <c r="F161" s="130"/>
      <c r="G161" s="86"/>
      <c r="H161" s="130"/>
      <c r="I161" s="86"/>
      <c r="J161" s="87">
        <v>3558</v>
      </c>
      <c r="K161" s="131" t="s">
        <v>76</v>
      </c>
      <c r="L161" s="87"/>
      <c r="M161" s="105" t="s">
        <v>2577</v>
      </c>
      <c r="N161" s="87">
        <v>2</v>
      </c>
      <c r="O161" s="133"/>
      <c r="P161" s="134">
        <v>951.88</v>
      </c>
      <c r="Q161" s="135">
        <f>data[[#This Row],[Costo Producto
Proveedor ($/Unid)]]*data[[#This Row],[Cantidad]]</f>
        <v>0</v>
      </c>
      <c r="R161" s="135">
        <f>data[[#This Row],[Cantidad]]*data[[#This Row],[Precio de Venta Cliente ($/Unid)]]</f>
        <v>1903.76</v>
      </c>
      <c r="S161" s="136"/>
      <c r="T161" s="86" t="s">
        <v>1571</v>
      </c>
      <c r="U161" s="86"/>
      <c r="V161" s="137" t="s">
        <v>46</v>
      </c>
      <c r="W161" s="139" t="s">
        <v>46</v>
      </c>
      <c r="X161" s="87" t="s">
        <v>503</v>
      </c>
      <c r="Y161" s="87" t="s">
        <v>503</v>
      </c>
      <c r="Z161" s="87" t="s">
        <v>41</v>
      </c>
      <c r="AA161" s="86"/>
    </row>
    <row r="162" spans="1:27" s="105" customFormat="1" x14ac:dyDescent="0.25">
      <c r="A162" s="9"/>
      <c r="B162" s="130"/>
      <c r="C162" s="130" t="str">
        <f>TEXT(data[[#This Row],[Fecha de Envío
Cotización]],"MMMM")</f>
        <v>junio</v>
      </c>
      <c r="D162" s="144">
        <v>44376</v>
      </c>
      <c r="E162" s="174"/>
      <c r="F162" s="130"/>
      <c r="G162" s="86"/>
      <c r="H162" s="130"/>
      <c r="I162" s="86"/>
      <c r="J162" s="87">
        <v>3559</v>
      </c>
      <c r="K162" s="131" t="s">
        <v>76</v>
      </c>
      <c r="L162" s="87"/>
      <c r="M162" s="105" t="s">
        <v>2579</v>
      </c>
      <c r="N162" s="87">
        <v>1</v>
      </c>
      <c r="O162" s="133"/>
      <c r="P162" s="134">
        <v>19755.93</v>
      </c>
      <c r="Q162" s="135">
        <f>data[[#This Row],[Costo Producto
Proveedor ($/Unid)]]*data[[#This Row],[Cantidad]]</f>
        <v>0</v>
      </c>
      <c r="R162" s="135">
        <f>data[[#This Row],[Cantidad]]*data[[#This Row],[Precio de Venta Cliente ($/Unid)]]</f>
        <v>19755.93</v>
      </c>
      <c r="S162" s="136"/>
      <c r="T162" s="86" t="s">
        <v>926</v>
      </c>
      <c r="U162" s="86"/>
      <c r="V162" s="137" t="s">
        <v>46</v>
      </c>
      <c r="W162" s="139" t="s">
        <v>46</v>
      </c>
      <c r="X162" s="87" t="s">
        <v>503</v>
      </c>
      <c r="Y162" s="87" t="s">
        <v>503</v>
      </c>
      <c r="Z162" s="87" t="s">
        <v>41</v>
      </c>
      <c r="AA162" s="86"/>
    </row>
    <row r="163" spans="1:27" x14ac:dyDescent="0.25">
      <c r="B163" s="174"/>
      <c r="C163" s="174" t="str">
        <f>TEXT(data[[#This Row],[Fecha de Envío
Cotización]],"MMMM")</f>
        <v>febrero</v>
      </c>
      <c r="D163" s="174">
        <v>44237</v>
      </c>
      <c r="E163" s="23" t="str">
        <f>IF(data[[#This Row],[Estatus de 
Cotización]]="PERDIDO","N/A","")</f>
        <v>N/A</v>
      </c>
      <c r="F163" s="174"/>
      <c r="G163" s="109"/>
      <c r="H163" s="174"/>
      <c r="I163" s="86">
        <v>511434</v>
      </c>
      <c r="J163" s="87">
        <v>20557</v>
      </c>
      <c r="K163" s="24" t="s">
        <v>1018</v>
      </c>
      <c r="L163" s="106"/>
      <c r="M163" s="105" t="s">
        <v>1019</v>
      </c>
      <c r="N163" s="106">
        <v>1</v>
      </c>
      <c r="O163" s="107"/>
      <c r="P163" s="107">
        <v>64.88</v>
      </c>
      <c r="Q163" s="28">
        <f>data[[#This Row],[Costo Producto
Proveedor ($/Unid)]]*data[[#This Row],[Cantidad]]</f>
        <v>0</v>
      </c>
      <c r="R163" s="28">
        <f>data[[#This Row],[Cantidad]]*data[[#This Row],[Precio de Venta Cliente ($/Unid)]]</f>
        <v>64.88</v>
      </c>
      <c r="S163" s="29"/>
      <c r="T163" s="106" t="s">
        <v>22</v>
      </c>
      <c r="U163" s="106"/>
      <c r="V163" s="30" t="s">
        <v>42</v>
      </c>
      <c r="W163" s="32" t="s">
        <v>42</v>
      </c>
      <c r="X163" s="106" t="s">
        <v>23</v>
      </c>
      <c r="Y163" s="106" t="s">
        <v>23</v>
      </c>
      <c r="Z163" s="106" t="s">
        <v>504</v>
      </c>
      <c r="AA163" s="106"/>
    </row>
    <row r="164" spans="1:27" x14ac:dyDescent="0.25">
      <c r="B164" s="174"/>
      <c r="C164" s="174" t="str">
        <f>TEXT(data[[#This Row],[Fecha de Envío
Cotización]],"MMMM")</f>
        <v>febrero</v>
      </c>
      <c r="D164" s="174">
        <v>44237</v>
      </c>
      <c r="E164" s="23" t="str">
        <f>IF(data[[#This Row],[Estatus de 
Cotización]]="PERDIDO","N/A","")</f>
        <v>N/A</v>
      </c>
      <c r="F164" s="174"/>
      <c r="G164" s="109"/>
      <c r="H164" s="174"/>
      <c r="I164" s="86">
        <v>511435</v>
      </c>
      <c r="J164" s="87">
        <v>20558</v>
      </c>
      <c r="K164" s="24" t="s">
        <v>1018</v>
      </c>
      <c r="L164" s="106"/>
      <c r="M164" s="111" t="s">
        <v>1023</v>
      </c>
      <c r="N164" s="106">
        <v>1</v>
      </c>
      <c r="O164" s="107"/>
      <c r="P164" s="107">
        <v>72.22</v>
      </c>
      <c r="Q164" s="28">
        <f>data[[#This Row],[Costo Producto
Proveedor ($/Unid)]]*data[[#This Row],[Cantidad]]</f>
        <v>0</v>
      </c>
      <c r="R164" s="28">
        <f>data[[#This Row],[Cantidad]]*data[[#This Row],[Precio de Venta Cliente ($/Unid)]]</f>
        <v>72.22</v>
      </c>
      <c r="S164" s="29"/>
      <c r="T164" s="106" t="s">
        <v>15</v>
      </c>
      <c r="U164" s="106"/>
      <c r="V164" s="30" t="s">
        <v>42</v>
      </c>
      <c r="W164" s="32" t="s">
        <v>42</v>
      </c>
      <c r="X164" s="106" t="s">
        <v>23</v>
      </c>
      <c r="Y164" s="106" t="s">
        <v>23</v>
      </c>
      <c r="Z164" s="106" t="s">
        <v>504</v>
      </c>
      <c r="AA164" s="106"/>
    </row>
    <row r="165" spans="1:27" x14ac:dyDescent="0.25">
      <c r="B165" s="23"/>
      <c r="C165" s="174" t="str">
        <f>TEXT(data[[#This Row],[Fecha de Envío
Cotización]],"MMMM")</f>
        <v>febrero</v>
      </c>
      <c r="D165" s="174">
        <v>44237</v>
      </c>
      <c r="E165" s="23" t="str">
        <f>IF(data[[#This Row],[Estatus de 
Cotización]]="PERDIDO","N/A","")</f>
        <v>N/A</v>
      </c>
      <c r="F165" s="23"/>
      <c r="G165" s="109"/>
      <c r="H165" s="23"/>
      <c r="I165" s="86">
        <v>511436</v>
      </c>
      <c r="J165" s="87">
        <v>20558</v>
      </c>
      <c r="K165" s="24" t="s">
        <v>1018</v>
      </c>
      <c r="L165" s="22"/>
      <c r="M165" s="111" t="s">
        <v>1024</v>
      </c>
      <c r="N165" s="22">
        <v>3</v>
      </c>
      <c r="O165" s="26"/>
      <c r="P165" s="107">
        <v>72.22</v>
      </c>
      <c r="Q165" s="28">
        <f>data[[#This Row],[Costo Producto
Proveedor ($/Unid)]]*data[[#This Row],[Cantidad]]</f>
        <v>0</v>
      </c>
      <c r="R165" s="28">
        <f>data[[#This Row],[Cantidad]]*data[[#This Row],[Precio de Venta Cliente ($/Unid)]]</f>
        <v>216.66</v>
      </c>
      <c r="S165" s="29"/>
      <c r="T165" s="106" t="s">
        <v>15</v>
      </c>
      <c r="U165" s="106"/>
      <c r="V165" s="30" t="s">
        <v>42</v>
      </c>
      <c r="W165" s="32" t="s">
        <v>42</v>
      </c>
      <c r="X165" s="22" t="s">
        <v>23</v>
      </c>
      <c r="Y165" s="22" t="s">
        <v>23</v>
      </c>
      <c r="Z165" s="22" t="s">
        <v>504</v>
      </c>
      <c r="AA165" s="106"/>
    </row>
    <row r="166" spans="1:27" x14ac:dyDescent="0.25">
      <c r="B166" s="174"/>
      <c r="C166" s="174" t="str">
        <f>TEXT(data[[#This Row],[Fecha de Envío
Cotización]],"MMMM")</f>
        <v>febrero</v>
      </c>
      <c r="D166" s="174">
        <v>44238</v>
      </c>
      <c r="E166" s="104" t="s">
        <v>473</v>
      </c>
      <c r="F166" s="174" t="s">
        <v>473</v>
      </c>
      <c r="G166" s="109"/>
      <c r="H166" s="174" t="s">
        <v>473</v>
      </c>
      <c r="I166" s="86">
        <v>511456</v>
      </c>
      <c r="J166" s="87" t="s">
        <v>1025</v>
      </c>
      <c r="K166" s="24" t="s">
        <v>1018</v>
      </c>
      <c r="L166" s="106"/>
      <c r="M166" s="105" t="s">
        <v>1023</v>
      </c>
      <c r="N166" s="106">
        <v>1</v>
      </c>
      <c r="O166" s="107"/>
      <c r="P166" s="107">
        <v>92</v>
      </c>
      <c r="Q166" s="28">
        <f>data[[#This Row],[Costo Producto
Proveedor ($/Unid)]]*data[[#This Row],[Cantidad]]</f>
        <v>0</v>
      </c>
      <c r="R166" s="28">
        <f>data[[#This Row],[Cantidad]]*data[[#This Row],[Precio de Venta Cliente ($/Unid)]]</f>
        <v>92</v>
      </c>
      <c r="S166" s="29"/>
      <c r="T166" s="106" t="s">
        <v>119</v>
      </c>
      <c r="U166" s="106"/>
      <c r="V166" s="30" t="s">
        <v>473</v>
      </c>
      <c r="W166" s="32" t="s">
        <v>473</v>
      </c>
      <c r="X166" s="106" t="s">
        <v>473</v>
      </c>
      <c r="Y166" s="106" t="s">
        <v>473</v>
      </c>
      <c r="Z166" s="106" t="s">
        <v>504</v>
      </c>
      <c r="AA166" s="106" t="s">
        <v>1602</v>
      </c>
    </row>
    <row r="167" spans="1:27" x14ac:dyDescent="0.25">
      <c r="B167" s="174"/>
      <c r="C167" s="174" t="str">
        <f>TEXT(data[[#This Row],[Fecha de Envío
Cotización]],"MMMM")</f>
        <v>febrero</v>
      </c>
      <c r="D167" s="174">
        <v>44238</v>
      </c>
      <c r="E167" s="174" t="s">
        <v>473</v>
      </c>
      <c r="F167" s="174" t="s">
        <v>473</v>
      </c>
      <c r="G167" s="109"/>
      <c r="H167" s="174" t="s">
        <v>473</v>
      </c>
      <c r="I167" s="86">
        <v>511457</v>
      </c>
      <c r="J167" s="87" t="s">
        <v>1025</v>
      </c>
      <c r="K167" s="24" t="s">
        <v>1018</v>
      </c>
      <c r="L167" s="106"/>
      <c r="M167" s="105" t="s">
        <v>1024</v>
      </c>
      <c r="N167" s="106">
        <v>3</v>
      </c>
      <c r="O167" s="107"/>
      <c r="P167" s="107">
        <v>92</v>
      </c>
      <c r="Q167" s="28">
        <f>data[[#This Row],[Costo Producto
Proveedor ($/Unid)]]*data[[#This Row],[Cantidad]]</f>
        <v>0</v>
      </c>
      <c r="R167" s="28">
        <f>data[[#This Row],[Cantidad]]*data[[#This Row],[Precio de Venta Cliente ($/Unid)]]</f>
        <v>276</v>
      </c>
      <c r="S167" s="29"/>
      <c r="T167" s="106" t="s">
        <v>119</v>
      </c>
      <c r="U167" s="106"/>
      <c r="V167" s="30" t="s">
        <v>473</v>
      </c>
      <c r="W167" s="32" t="s">
        <v>473</v>
      </c>
      <c r="X167" s="106" t="s">
        <v>473</v>
      </c>
      <c r="Y167" s="106" t="s">
        <v>473</v>
      </c>
      <c r="Z167" s="106" t="s">
        <v>504</v>
      </c>
      <c r="AA167" s="106" t="s">
        <v>1602</v>
      </c>
    </row>
    <row r="168" spans="1:27" x14ac:dyDescent="0.25">
      <c r="B168" s="174"/>
      <c r="C168" s="174" t="str">
        <f>TEXT(data[[#This Row],[Fecha de Envío
Cotización]],"MMMM")</f>
        <v>febrero</v>
      </c>
      <c r="D168" s="174">
        <v>44238</v>
      </c>
      <c r="E168" s="174" t="s">
        <v>473</v>
      </c>
      <c r="F168" s="174" t="s">
        <v>473</v>
      </c>
      <c r="G168" s="109"/>
      <c r="H168" s="174" t="s">
        <v>473</v>
      </c>
      <c r="I168" s="86">
        <v>511458</v>
      </c>
      <c r="J168" s="87" t="s">
        <v>1025</v>
      </c>
      <c r="K168" s="24" t="s">
        <v>1018</v>
      </c>
      <c r="L168" s="106"/>
      <c r="M168" s="105" t="s">
        <v>1026</v>
      </c>
      <c r="N168" s="106">
        <v>1</v>
      </c>
      <c r="O168" s="107"/>
      <c r="P168" s="107">
        <v>64.88</v>
      </c>
      <c r="Q168" s="28">
        <f>data[[#This Row],[Costo Producto
Proveedor ($/Unid)]]*data[[#This Row],[Cantidad]]</f>
        <v>0</v>
      </c>
      <c r="R168" s="28">
        <f>data[[#This Row],[Cantidad]]*data[[#This Row],[Precio de Venta Cliente ($/Unid)]]</f>
        <v>64.88</v>
      </c>
      <c r="S168" s="29"/>
      <c r="T168" s="106" t="s">
        <v>119</v>
      </c>
      <c r="U168" s="106"/>
      <c r="V168" s="30" t="s">
        <v>473</v>
      </c>
      <c r="W168" s="32" t="s">
        <v>473</v>
      </c>
      <c r="X168" s="106" t="s">
        <v>473</v>
      </c>
      <c r="Y168" s="106" t="s">
        <v>473</v>
      </c>
      <c r="Z168" s="106" t="s">
        <v>504</v>
      </c>
      <c r="AA168" s="106" t="s">
        <v>1602</v>
      </c>
    </row>
    <row r="169" spans="1:27" s="38" customFormat="1" x14ac:dyDescent="0.25">
      <c r="B169" s="35"/>
      <c r="C169" s="174" t="str">
        <f>TEXT(data[[#This Row],[Fecha de Envío
Cotización]],"MMMM")</f>
        <v>febrero</v>
      </c>
      <c r="D169" s="174">
        <v>44238</v>
      </c>
      <c r="E169" s="174" t="str">
        <f>IF(data[[#This Row],[Estatus de 
Cotización]]="PERDIDO","N/A","")</f>
        <v>N/A</v>
      </c>
      <c r="F169" s="35"/>
      <c r="G169" s="109"/>
      <c r="H169" s="35"/>
      <c r="I169" s="86">
        <v>511459</v>
      </c>
      <c r="J169" s="87">
        <v>20086</v>
      </c>
      <c r="K169" s="24" t="s">
        <v>1027</v>
      </c>
      <c r="L169" s="106"/>
      <c r="M169" s="105" t="s">
        <v>1028</v>
      </c>
      <c r="N169" s="39">
        <v>1</v>
      </c>
      <c r="O169" s="40"/>
      <c r="P169" s="107">
        <v>815.81</v>
      </c>
      <c r="Q169" s="28">
        <f>data[[#This Row],[Costo Producto
Proveedor ($/Unid)]]*data[[#This Row],[Cantidad]]</f>
        <v>0</v>
      </c>
      <c r="R169" s="28">
        <f>data[[#This Row],[Cantidad]]*data[[#This Row],[Precio de Venta Cliente ($/Unid)]]</f>
        <v>815.81</v>
      </c>
      <c r="S169" s="29"/>
      <c r="T169" s="106" t="s">
        <v>119</v>
      </c>
      <c r="U169" s="106"/>
      <c r="V169" s="30" t="s">
        <v>42</v>
      </c>
      <c r="W169" s="32" t="s">
        <v>42</v>
      </c>
      <c r="X169" s="106" t="s">
        <v>23</v>
      </c>
      <c r="Y169" s="106" t="s">
        <v>23</v>
      </c>
      <c r="Z169" s="39" t="s">
        <v>504</v>
      </c>
      <c r="AA169" s="106"/>
    </row>
    <row r="170" spans="1:27" s="38" customFormat="1" x14ac:dyDescent="0.25">
      <c r="B170" s="35"/>
      <c r="C170" s="174" t="str">
        <f>TEXT(data[[#This Row],[Fecha de Envío
Cotización]],"MMMM")</f>
        <v>febrero</v>
      </c>
      <c r="D170" s="174">
        <v>44238</v>
      </c>
      <c r="E170" s="35" t="str">
        <f>IF(data[[#This Row],[Estatus de 
Cotización]]="PERDIDO","N/A","")</f>
        <v>N/A</v>
      </c>
      <c r="F170" s="35"/>
      <c r="G170" s="109"/>
      <c r="H170" s="35"/>
      <c r="I170" s="86">
        <v>511460</v>
      </c>
      <c r="J170" s="87">
        <v>20086</v>
      </c>
      <c r="K170" s="24" t="s">
        <v>1027</v>
      </c>
      <c r="L170" s="106"/>
      <c r="M170" s="105" t="s">
        <v>1029</v>
      </c>
      <c r="N170" s="39">
        <v>1</v>
      </c>
      <c r="O170" s="40"/>
      <c r="P170" s="107">
        <v>350</v>
      </c>
      <c r="Q170" s="28">
        <f>data[[#This Row],[Costo Producto
Proveedor ($/Unid)]]*data[[#This Row],[Cantidad]]</f>
        <v>0</v>
      </c>
      <c r="R170" s="28">
        <f>data[[#This Row],[Cantidad]]*data[[#This Row],[Precio de Venta Cliente ($/Unid)]]</f>
        <v>350</v>
      </c>
      <c r="S170" s="29"/>
      <c r="T170" s="106" t="s">
        <v>119</v>
      </c>
      <c r="U170" s="106"/>
      <c r="V170" s="30" t="s">
        <v>42</v>
      </c>
      <c r="W170" s="32" t="s">
        <v>42</v>
      </c>
      <c r="X170" s="39" t="s">
        <v>23</v>
      </c>
      <c r="Y170" s="39" t="s">
        <v>23</v>
      </c>
      <c r="Z170" s="39" t="s">
        <v>504</v>
      </c>
      <c r="AA170" s="106"/>
    </row>
    <row r="171" spans="1:27" s="38" customFormat="1" x14ac:dyDescent="0.25">
      <c r="B171" s="174"/>
      <c r="C171" s="174" t="str">
        <f>TEXT(data[[#This Row],[Fecha de Envío
Cotización]],"MMMM")</f>
        <v>febrero</v>
      </c>
      <c r="D171" s="174">
        <v>44250</v>
      </c>
      <c r="E171" s="35" t="str">
        <f>IF(data[[#This Row],[Estatus de 
Cotización]]="PERDIDO","N/A","")</f>
        <v>N/A</v>
      </c>
      <c r="F171" s="174"/>
      <c r="G171" s="109"/>
      <c r="H171" s="174"/>
      <c r="I171" s="86">
        <v>511480</v>
      </c>
      <c r="J171" s="87">
        <v>20153</v>
      </c>
      <c r="K171" s="24" t="s">
        <v>32</v>
      </c>
      <c r="L171" s="106"/>
      <c r="M171" s="105" t="s">
        <v>1030</v>
      </c>
      <c r="N171" s="106">
        <v>3</v>
      </c>
      <c r="O171" s="107"/>
      <c r="P171" s="107">
        <v>128</v>
      </c>
      <c r="Q171" s="28">
        <f>data[[#This Row],[Costo Producto
Proveedor ($/Unid)]]*data[[#This Row],[Cantidad]]</f>
        <v>0</v>
      </c>
      <c r="R171" s="28">
        <f>data[[#This Row],[Cantidad]]*data[[#This Row],[Precio de Venta Cliente ($/Unid)]]</f>
        <v>384</v>
      </c>
      <c r="S171" s="29"/>
      <c r="T171" s="106" t="s">
        <v>119</v>
      </c>
      <c r="U171" s="106"/>
      <c r="V171" s="30" t="s">
        <v>42</v>
      </c>
      <c r="W171" s="32" t="s">
        <v>42</v>
      </c>
      <c r="X171" s="106" t="s">
        <v>23</v>
      </c>
      <c r="Y171" s="106" t="s">
        <v>23</v>
      </c>
      <c r="Z171" s="106" t="s">
        <v>504</v>
      </c>
      <c r="AA171" s="106"/>
    </row>
    <row r="172" spans="1:27" s="38" customFormat="1" x14ac:dyDescent="0.25">
      <c r="B172" s="174"/>
      <c r="C172" s="174" t="str">
        <f>TEXT(data[[#This Row],[Fecha de Envío
Cotización]],"MMMM")</f>
        <v>febrero</v>
      </c>
      <c r="D172" s="174">
        <v>44250</v>
      </c>
      <c r="E172" s="35" t="str">
        <f>IF(data[[#This Row],[Estatus de 
Cotización]]="PERDIDO","N/A","")</f>
        <v>N/A</v>
      </c>
      <c r="F172" s="174"/>
      <c r="G172" s="109"/>
      <c r="H172" s="174"/>
      <c r="I172" s="86">
        <v>511481</v>
      </c>
      <c r="J172" s="87">
        <v>20153</v>
      </c>
      <c r="K172" s="24" t="s">
        <v>32</v>
      </c>
      <c r="L172" s="106"/>
      <c r="M172" s="105" t="s">
        <v>1030</v>
      </c>
      <c r="N172" s="106">
        <v>3</v>
      </c>
      <c r="O172" s="107"/>
      <c r="P172" s="107">
        <v>78</v>
      </c>
      <c r="Q172" s="28">
        <f>data[[#This Row],[Costo Producto
Proveedor ($/Unid)]]*data[[#This Row],[Cantidad]]</f>
        <v>0</v>
      </c>
      <c r="R172" s="28">
        <f>data[[#This Row],[Cantidad]]*data[[#This Row],[Precio de Venta Cliente ($/Unid)]]</f>
        <v>234</v>
      </c>
      <c r="S172" s="29"/>
      <c r="T172" s="106" t="s">
        <v>73</v>
      </c>
      <c r="U172" s="106"/>
      <c r="V172" s="30" t="s">
        <v>42</v>
      </c>
      <c r="W172" s="32" t="s">
        <v>42</v>
      </c>
      <c r="X172" s="106" t="s">
        <v>23</v>
      </c>
      <c r="Y172" s="106" t="s">
        <v>23</v>
      </c>
      <c r="Z172" s="106" t="s">
        <v>504</v>
      </c>
      <c r="AA172" s="106"/>
    </row>
    <row r="173" spans="1:27" s="38" customFormat="1" x14ac:dyDescent="0.25">
      <c r="B173" s="35"/>
      <c r="C173" s="174" t="str">
        <f>TEXT(data[[#This Row],[Fecha de Envío
Cotización]],"MMMM")</f>
        <v>febrero</v>
      </c>
      <c r="D173" s="174">
        <v>44253</v>
      </c>
      <c r="E173" s="35">
        <v>44258</v>
      </c>
      <c r="F173" s="35">
        <v>44362</v>
      </c>
      <c r="G173" s="109">
        <v>4500303555</v>
      </c>
      <c r="H173" s="35"/>
      <c r="I173" s="86">
        <v>511493</v>
      </c>
      <c r="J173" s="87">
        <v>20160</v>
      </c>
      <c r="K173" s="24" t="s">
        <v>32</v>
      </c>
      <c r="L173" s="39" t="s">
        <v>501</v>
      </c>
      <c r="M173" s="33" t="s">
        <v>502</v>
      </c>
      <c r="N173" s="39">
        <v>12</v>
      </c>
      <c r="O173" s="40"/>
      <c r="P173" s="27">
        <v>144.5</v>
      </c>
      <c r="Q173" s="28">
        <f>data[[#This Row],[Costo Producto
Proveedor ($/Unid)]]*data[[#This Row],[Cantidad]]</f>
        <v>0</v>
      </c>
      <c r="R173" s="120">
        <f>data[[#This Row],[Cantidad]]*data[[#This Row],[Precio de Venta Cliente ($/Unid)]]</f>
        <v>1734</v>
      </c>
      <c r="S173" s="29"/>
      <c r="T173" s="106" t="s">
        <v>73</v>
      </c>
      <c r="U173" s="106" t="s">
        <v>39</v>
      </c>
      <c r="V173" s="30" t="s">
        <v>44</v>
      </c>
      <c r="W173" s="174" t="s">
        <v>44</v>
      </c>
      <c r="X173" s="39" t="s">
        <v>503</v>
      </c>
      <c r="Y173" s="39" t="s">
        <v>503</v>
      </c>
      <c r="Z173" s="39" t="s">
        <v>504</v>
      </c>
      <c r="AA173" s="106"/>
    </row>
    <row r="174" spans="1:27" s="38" customFormat="1" x14ac:dyDescent="0.25">
      <c r="B174" s="35"/>
      <c r="C174" s="174" t="str">
        <f>TEXT(data[[#This Row],[Fecha de Envío
Cotización]],"MMMM")</f>
        <v>febrero</v>
      </c>
      <c r="D174" s="174">
        <v>44253</v>
      </c>
      <c r="E174" s="35">
        <v>44258</v>
      </c>
      <c r="F174" s="35">
        <v>44323</v>
      </c>
      <c r="G174" s="109">
        <v>4500303555</v>
      </c>
      <c r="H174" s="35">
        <v>44260</v>
      </c>
      <c r="I174" s="86">
        <v>511494</v>
      </c>
      <c r="J174" s="87">
        <v>20160</v>
      </c>
      <c r="K174" s="24" t="s">
        <v>32</v>
      </c>
      <c r="L174" s="39" t="s">
        <v>501</v>
      </c>
      <c r="M174" s="33" t="s">
        <v>505</v>
      </c>
      <c r="N174" s="39">
        <v>3</v>
      </c>
      <c r="O174" s="40"/>
      <c r="P174" s="27">
        <v>323.63</v>
      </c>
      <c r="Q174" s="28">
        <f>data[[#This Row],[Costo Producto
Proveedor ($/Unid)]]*data[[#This Row],[Cantidad]]</f>
        <v>0</v>
      </c>
      <c r="R174" s="120">
        <f>data[[#This Row],[Cantidad]]*data[[#This Row],[Precio de Venta Cliente ($/Unid)]]</f>
        <v>970.89</v>
      </c>
      <c r="S174" s="29"/>
      <c r="T174" s="106" t="s">
        <v>73</v>
      </c>
      <c r="U174" s="106" t="s">
        <v>39</v>
      </c>
      <c r="V174" s="30" t="s">
        <v>44</v>
      </c>
      <c r="W174" s="174" t="s">
        <v>44</v>
      </c>
      <c r="X174" s="39" t="s">
        <v>503</v>
      </c>
      <c r="Y174" s="39" t="s">
        <v>503</v>
      </c>
      <c r="Z174" s="39" t="s">
        <v>504</v>
      </c>
      <c r="AA174" s="106"/>
    </row>
    <row r="175" spans="1:27" x14ac:dyDescent="0.25">
      <c r="B175" s="23"/>
      <c r="C175" s="174" t="str">
        <f>TEXT(data[[#This Row],[Fecha de Envío
Cotización]],"MMMM")</f>
        <v>febrero</v>
      </c>
      <c r="D175" s="174">
        <v>44253</v>
      </c>
      <c r="E175" s="23">
        <v>44258</v>
      </c>
      <c r="F175" s="23">
        <v>44351</v>
      </c>
      <c r="G175" s="109">
        <v>4500303555</v>
      </c>
      <c r="H175" s="23"/>
      <c r="I175" s="86">
        <v>511495</v>
      </c>
      <c r="J175" s="87">
        <v>20160</v>
      </c>
      <c r="K175" s="24" t="s">
        <v>32</v>
      </c>
      <c r="L175" s="106" t="s">
        <v>501</v>
      </c>
      <c r="M175" s="33" t="s">
        <v>506</v>
      </c>
      <c r="N175" s="22">
        <v>2</v>
      </c>
      <c r="O175" s="26"/>
      <c r="P175" s="27">
        <v>257.39999999999998</v>
      </c>
      <c r="Q175" s="28">
        <f>data[[#This Row],[Costo Producto
Proveedor ($/Unid)]]*data[[#This Row],[Cantidad]]</f>
        <v>0</v>
      </c>
      <c r="R175" s="120">
        <f>data[[#This Row],[Cantidad]]*data[[#This Row],[Precio de Venta Cliente ($/Unid)]]</f>
        <v>514.79999999999995</v>
      </c>
      <c r="S175" s="29"/>
      <c r="T175" s="106" t="s">
        <v>73</v>
      </c>
      <c r="U175" s="106" t="s">
        <v>39</v>
      </c>
      <c r="V175" s="30" t="s">
        <v>44</v>
      </c>
      <c r="W175" s="174" t="s">
        <v>44</v>
      </c>
      <c r="X175" s="106" t="s">
        <v>503</v>
      </c>
      <c r="Y175" s="106" t="s">
        <v>503</v>
      </c>
      <c r="Z175" s="22" t="s">
        <v>504</v>
      </c>
      <c r="AA175" s="106"/>
    </row>
    <row r="176" spans="1:27" x14ac:dyDescent="0.25">
      <c r="B176" s="23"/>
      <c r="C176" s="174" t="str">
        <f>TEXT(data[[#This Row],[Fecha de Envío
Cotización]],"MMMM")</f>
        <v>febrero</v>
      </c>
      <c r="D176" s="174">
        <v>44253</v>
      </c>
      <c r="E176" s="174">
        <v>44258</v>
      </c>
      <c r="F176" s="23">
        <v>44351</v>
      </c>
      <c r="G176" s="109">
        <v>4500303555</v>
      </c>
      <c r="H176" s="23"/>
      <c r="I176" s="86">
        <v>511496</v>
      </c>
      <c r="J176" s="87">
        <v>20160</v>
      </c>
      <c r="K176" s="24" t="s">
        <v>32</v>
      </c>
      <c r="L176" s="106" t="s">
        <v>501</v>
      </c>
      <c r="M176" s="33" t="s">
        <v>507</v>
      </c>
      <c r="N176" s="22">
        <v>2</v>
      </c>
      <c r="O176" s="26"/>
      <c r="P176" s="27">
        <v>257.39999999999998</v>
      </c>
      <c r="Q176" s="28">
        <f>data[[#This Row],[Costo Producto
Proveedor ($/Unid)]]*data[[#This Row],[Cantidad]]</f>
        <v>0</v>
      </c>
      <c r="R176" s="120">
        <f>data[[#This Row],[Cantidad]]*data[[#This Row],[Precio de Venta Cliente ($/Unid)]]</f>
        <v>514.79999999999995</v>
      </c>
      <c r="S176" s="29"/>
      <c r="T176" s="106" t="s">
        <v>73</v>
      </c>
      <c r="U176" s="106" t="s">
        <v>39</v>
      </c>
      <c r="V176" s="30" t="s">
        <v>44</v>
      </c>
      <c r="W176" s="174" t="s">
        <v>44</v>
      </c>
      <c r="X176" s="106" t="s">
        <v>503</v>
      </c>
      <c r="Y176" s="106" t="s">
        <v>503</v>
      </c>
      <c r="Z176" s="22" t="s">
        <v>504</v>
      </c>
      <c r="AA176" s="106"/>
    </row>
    <row r="177" spans="2:27" x14ac:dyDescent="0.25">
      <c r="B177" s="174"/>
      <c r="C177" s="174" t="str">
        <f>TEXT(data[[#This Row],[Fecha de Envío
Cotización]],"MMMM")</f>
        <v>febrero</v>
      </c>
      <c r="D177" s="174">
        <v>44253</v>
      </c>
      <c r="E177" s="174">
        <v>44258</v>
      </c>
      <c r="F177" s="174">
        <v>44351</v>
      </c>
      <c r="G177" s="109">
        <v>4500303555</v>
      </c>
      <c r="H177" s="174"/>
      <c r="I177" s="86">
        <v>511497</v>
      </c>
      <c r="J177" s="87">
        <v>20160</v>
      </c>
      <c r="K177" s="24" t="s">
        <v>32</v>
      </c>
      <c r="L177" s="106" t="s">
        <v>501</v>
      </c>
      <c r="M177" s="33" t="s">
        <v>508</v>
      </c>
      <c r="N177" s="106">
        <v>2</v>
      </c>
      <c r="O177" s="107"/>
      <c r="P177" s="27">
        <v>581.03</v>
      </c>
      <c r="Q177" s="28">
        <f>data[[#This Row],[Costo Producto
Proveedor ($/Unid)]]*data[[#This Row],[Cantidad]]</f>
        <v>0</v>
      </c>
      <c r="R177" s="120">
        <f>data[[#This Row],[Cantidad]]*data[[#This Row],[Precio de Venta Cliente ($/Unid)]]</f>
        <v>1162.06</v>
      </c>
      <c r="S177" s="29"/>
      <c r="T177" s="106" t="s">
        <v>73</v>
      </c>
      <c r="U177" s="106" t="s">
        <v>39</v>
      </c>
      <c r="V177" s="30" t="s">
        <v>44</v>
      </c>
      <c r="W177" s="174" t="s">
        <v>44</v>
      </c>
      <c r="X177" s="106" t="s">
        <v>503</v>
      </c>
      <c r="Y177" s="106" t="s">
        <v>503</v>
      </c>
      <c r="Z177" s="106" t="s">
        <v>504</v>
      </c>
      <c r="AA177" s="106"/>
    </row>
    <row r="178" spans="2:27" x14ac:dyDescent="0.25">
      <c r="B178" s="23"/>
      <c r="C178" s="174" t="str">
        <f>TEXT(data[[#This Row],[Fecha de Envío
Cotización]],"MMMM")</f>
        <v>marzo</v>
      </c>
      <c r="D178" s="174">
        <v>44257</v>
      </c>
      <c r="E178" s="174" t="str">
        <f>IF(data[[#This Row],[Estatus de 
Cotización]]="PERDIDO","N/A","")</f>
        <v>N/A</v>
      </c>
      <c r="F178" s="23"/>
      <c r="G178" s="109"/>
      <c r="H178" s="23"/>
      <c r="I178" s="86">
        <v>511499</v>
      </c>
      <c r="J178" s="87">
        <v>20524</v>
      </c>
      <c r="K178" s="24" t="s">
        <v>53</v>
      </c>
      <c r="L178" s="106"/>
      <c r="M178" s="108" t="s">
        <v>509</v>
      </c>
      <c r="N178" s="22">
        <v>4</v>
      </c>
      <c r="O178" s="26"/>
      <c r="P178" s="27">
        <v>141.75</v>
      </c>
      <c r="Q178" s="28">
        <f>data[[#This Row],[Costo Producto
Proveedor ($/Unid)]]*data[[#This Row],[Cantidad]]</f>
        <v>0</v>
      </c>
      <c r="R178" s="28">
        <f>data[[#This Row],[Cantidad]]*data[[#This Row],[Precio de Venta Cliente ($/Unid)]]</f>
        <v>567</v>
      </c>
      <c r="S178" s="29"/>
      <c r="T178" s="106" t="s">
        <v>15</v>
      </c>
      <c r="U178" s="106"/>
      <c r="V178" s="30" t="s">
        <v>42</v>
      </c>
      <c r="W178" s="174" t="s">
        <v>42</v>
      </c>
      <c r="X178" s="22" t="s">
        <v>23</v>
      </c>
      <c r="Y178" s="22" t="s">
        <v>23</v>
      </c>
      <c r="Z178" s="22" t="s">
        <v>504</v>
      </c>
      <c r="AA178" s="106" t="s">
        <v>48</v>
      </c>
    </row>
    <row r="179" spans="2:27" x14ac:dyDescent="0.25">
      <c r="B179" s="23"/>
      <c r="C179" s="174" t="str">
        <f>TEXT(data[[#This Row],[Fecha de Envío
Cotización]],"MMMM")</f>
        <v>marzo</v>
      </c>
      <c r="D179" s="174">
        <v>44257</v>
      </c>
      <c r="E179" s="23" t="str">
        <f>IF(data[[#This Row],[Estatus de 
Cotización]]="PERDIDO","N/A","")</f>
        <v>N/A</v>
      </c>
      <c r="F179" s="23"/>
      <c r="G179" s="109"/>
      <c r="H179" s="23"/>
      <c r="I179" s="86">
        <v>511500</v>
      </c>
      <c r="J179" s="87">
        <v>20524</v>
      </c>
      <c r="K179" s="24" t="s">
        <v>53</v>
      </c>
      <c r="L179" s="106"/>
      <c r="M179" s="108" t="s">
        <v>510</v>
      </c>
      <c r="N179" s="22">
        <v>7</v>
      </c>
      <c r="O179" s="26"/>
      <c r="P179" s="27">
        <v>35</v>
      </c>
      <c r="Q179" s="28">
        <f>data[[#This Row],[Costo Producto
Proveedor ($/Unid)]]*data[[#This Row],[Cantidad]]</f>
        <v>0</v>
      </c>
      <c r="R179" s="28">
        <f>data[[#This Row],[Cantidad]]*data[[#This Row],[Precio de Venta Cliente ($/Unid)]]</f>
        <v>245</v>
      </c>
      <c r="S179" s="29"/>
      <c r="T179" s="106" t="s">
        <v>15</v>
      </c>
      <c r="U179" s="106"/>
      <c r="V179" s="30" t="s">
        <v>42</v>
      </c>
      <c r="W179" s="174" t="s">
        <v>42</v>
      </c>
      <c r="X179" s="22" t="s">
        <v>23</v>
      </c>
      <c r="Y179" s="22" t="s">
        <v>23</v>
      </c>
      <c r="Z179" s="22" t="s">
        <v>504</v>
      </c>
      <c r="AA179" s="106" t="s">
        <v>48</v>
      </c>
    </row>
    <row r="180" spans="2:27" x14ac:dyDescent="0.25">
      <c r="B180" s="174"/>
      <c r="C180" s="174" t="str">
        <f>TEXT(data[[#This Row],[Fecha de Envío
Cotización]],"MMMM")</f>
        <v>marzo</v>
      </c>
      <c r="D180" s="174">
        <v>44257</v>
      </c>
      <c r="E180" s="23" t="str">
        <f>IF(data[[#This Row],[Estatus de 
Cotización]]="PERDIDO","N/A","")</f>
        <v>N/A</v>
      </c>
      <c r="F180" s="174"/>
      <c r="G180" s="109"/>
      <c r="H180" s="174"/>
      <c r="I180" s="86">
        <v>511501</v>
      </c>
      <c r="J180" s="87">
        <v>20524</v>
      </c>
      <c r="K180" s="24" t="s">
        <v>53</v>
      </c>
      <c r="L180" s="106"/>
      <c r="M180" s="108" t="s">
        <v>511</v>
      </c>
      <c r="N180" s="106">
        <v>4</v>
      </c>
      <c r="O180" s="107"/>
      <c r="P180" s="27">
        <v>34</v>
      </c>
      <c r="Q180" s="28">
        <f>data[[#This Row],[Costo Producto
Proveedor ($/Unid)]]*data[[#This Row],[Cantidad]]</f>
        <v>0</v>
      </c>
      <c r="R180" s="28">
        <f>data[[#This Row],[Cantidad]]*data[[#This Row],[Precio de Venta Cliente ($/Unid)]]</f>
        <v>136</v>
      </c>
      <c r="S180" s="29"/>
      <c r="T180" s="106" t="s">
        <v>15</v>
      </c>
      <c r="U180" s="106"/>
      <c r="V180" s="30" t="s">
        <v>42</v>
      </c>
      <c r="W180" s="174" t="s">
        <v>42</v>
      </c>
      <c r="X180" s="106" t="s">
        <v>23</v>
      </c>
      <c r="Y180" s="106" t="s">
        <v>23</v>
      </c>
      <c r="Z180" s="106" t="s">
        <v>504</v>
      </c>
      <c r="AA180" s="106" t="s">
        <v>48</v>
      </c>
    </row>
    <row r="181" spans="2:27" x14ac:dyDescent="0.25">
      <c r="B181" s="174"/>
      <c r="C181" s="174" t="str">
        <f>TEXT(data[[#This Row],[Fecha de Envío
Cotización]],"MMMM")</f>
        <v>marzo</v>
      </c>
      <c r="D181" s="174">
        <v>44257</v>
      </c>
      <c r="E181" s="23" t="str">
        <f>IF(data[[#This Row],[Estatus de 
Cotización]]="PERDIDO","N/A","")</f>
        <v>N/A</v>
      </c>
      <c r="F181" s="174"/>
      <c r="G181" s="109"/>
      <c r="H181" s="174"/>
      <c r="I181" s="86">
        <v>511502</v>
      </c>
      <c r="J181" s="87">
        <v>20524</v>
      </c>
      <c r="K181" s="24" t="s">
        <v>53</v>
      </c>
      <c r="L181" s="106"/>
      <c r="M181" s="108" t="s">
        <v>512</v>
      </c>
      <c r="N181" s="106">
        <v>2</v>
      </c>
      <c r="O181" s="107"/>
      <c r="P181" s="27">
        <v>56.7</v>
      </c>
      <c r="Q181" s="28">
        <f>data[[#This Row],[Costo Producto
Proveedor ($/Unid)]]*data[[#This Row],[Cantidad]]</f>
        <v>0</v>
      </c>
      <c r="R181" s="28">
        <f>data[[#This Row],[Cantidad]]*data[[#This Row],[Precio de Venta Cliente ($/Unid)]]</f>
        <v>113.4</v>
      </c>
      <c r="S181" s="29"/>
      <c r="T181" s="106" t="s">
        <v>15</v>
      </c>
      <c r="U181" s="106"/>
      <c r="V181" s="30" t="s">
        <v>42</v>
      </c>
      <c r="W181" s="174" t="s">
        <v>42</v>
      </c>
      <c r="X181" s="106" t="s">
        <v>23</v>
      </c>
      <c r="Y181" s="106" t="s">
        <v>23</v>
      </c>
      <c r="Z181" s="106" t="s">
        <v>504</v>
      </c>
      <c r="AA181" s="106" t="s">
        <v>48</v>
      </c>
    </row>
    <row r="182" spans="2:27" x14ac:dyDescent="0.25">
      <c r="B182" s="174"/>
      <c r="C182" s="174" t="str">
        <f>TEXT(data[[#This Row],[Fecha de Envío
Cotización]],"MMMM")</f>
        <v>marzo</v>
      </c>
      <c r="D182" s="174">
        <v>44257</v>
      </c>
      <c r="E182" s="23" t="str">
        <f>IF(data[[#This Row],[Estatus de 
Cotización]]="PERDIDO","N/A","")</f>
        <v>N/A</v>
      </c>
      <c r="F182" s="174"/>
      <c r="G182" s="109"/>
      <c r="H182" s="174"/>
      <c r="I182" s="86">
        <v>511503</v>
      </c>
      <c r="J182" s="87">
        <v>20524</v>
      </c>
      <c r="K182" s="24" t="s">
        <v>53</v>
      </c>
      <c r="L182" s="106"/>
      <c r="M182" s="108" t="s">
        <v>513</v>
      </c>
      <c r="N182" s="106">
        <v>5</v>
      </c>
      <c r="O182" s="107"/>
      <c r="P182" s="27">
        <v>87.75</v>
      </c>
      <c r="Q182" s="28">
        <f>data[[#This Row],[Costo Producto
Proveedor ($/Unid)]]*data[[#This Row],[Cantidad]]</f>
        <v>0</v>
      </c>
      <c r="R182" s="28">
        <f>data[[#This Row],[Cantidad]]*data[[#This Row],[Precio de Venta Cliente ($/Unid)]]</f>
        <v>438.75</v>
      </c>
      <c r="S182" s="29"/>
      <c r="T182" s="106" t="s">
        <v>15</v>
      </c>
      <c r="U182" s="106"/>
      <c r="V182" s="30" t="s">
        <v>42</v>
      </c>
      <c r="W182" s="174" t="s">
        <v>42</v>
      </c>
      <c r="X182" s="106" t="s">
        <v>23</v>
      </c>
      <c r="Y182" s="106" t="s">
        <v>23</v>
      </c>
      <c r="Z182" s="106" t="s">
        <v>504</v>
      </c>
      <c r="AA182" s="106" t="s">
        <v>48</v>
      </c>
    </row>
    <row r="183" spans="2:27" x14ac:dyDescent="0.25">
      <c r="B183" s="174"/>
      <c r="C183" s="174" t="str">
        <f>TEXT(data[[#This Row],[Fecha de Envío
Cotización]],"MMMM")</f>
        <v>marzo</v>
      </c>
      <c r="D183" s="174">
        <v>44257</v>
      </c>
      <c r="E183" s="23" t="str">
        <f>IF(data[[#This Row],[Estatus de 
Cotización]]="PERDIDO","N/A","")</f>
        <v>N/A</v>
      </c>
      <c r="F183" s="174"/>
      <c r="G183" s="109"/>
      <c r="H183" s="174"/>
      <c r="I183" s="86">
        <v>511504</v>
      </c>
      <c r="J183" s="87">
        <v>20524</v>
      </c>
      <c r="K183" s="24" t="s">
        <v>53</v>
      </c>
      <c r="L183" s="106"/>
      <c r="M183" s="108" t="s">
        <v>514</v>
      </c>
      <c r="N183" s="106">
        <v>20</v>
      </c>
      <c r="O183" s="107"/>
      <c r="P183" s="27">
        <v>24</v>
      </c>
      <c r="Q183" s="28">
        <f>data[[#This Row],[Costo Producto
Proveedor ($/Unid)]]*data[[#This Row],[Cantidad]]</f>
        <v>0</v>
      </c>
      <c r="R183" s="28">
        <f>data[[#This Row],[Cantidad]]*data[[#This Row],[Precio de Venta Cliente ($/Unid)]]</f>
        <v>480</v>
      </c>
      <c r="S183" s="29"/>
      <c r="T183" s="106" t="s">
        <v>15</v>
      </c>
      <c r="U183" s="106"/>
      <c r="V183" s="30" t="s">
        <v>42</v>
      </c>
      <c r="W183" s="174" t="s">
        <v>42</v>
      </c>
      <c r="X183" s="106" t="s">
        <v>23</v>
      </c>
      <c r="Y183" s="106" t="s">
        <v>23</v>
      </c>
      <c r="Z183" s="106" t="s">
        <v>504</v>
      </c>
      <c r="AA183" s="106" t="s">
        <v>48</v>
      </c>
    </row>
    <row r="184" spans="2:27" x14ac:dyDescent="0.25">
      <c r="B184" s="174"/>
      <c r="C184" s="174" t="str">
        <f>TEXT(data[[#This Row],[Fecha de Envío
Cotización]],"MMMM")</f>
        <v>marzo</v>
      </c>
      <c r="D184" s="174">
        <v>44263</v>
      </c>
      <c r="E184" s="23" t="s">
        <v>473</v>
      </c>
      <c r="F184" s="174" t="s">
        <v>473</v>
      </c>
      <c r="G184" s="109"/>
      <c r="H184" s="174" t="s">
        <v>473</v>
      </c>
      <c r="I184" s="86">
        <v>511537</v>
      </c>
      <c r="J184" s="87">
        <v>20711</v>
      </c>
      <c r="K184" s="24" t="s">
        <v>32</v>
      </c>
      <c r="L184" s="106"/>
      <c r="M184" s="108" t="s">
        <v>515</v>
      </c>
      <c r="N184" s="106">
        <v>8</v>
      </c>
      <c r="O184" s="107"/>
      <c r="P184" s="27">
        <v>247.45</v>
      </c>
      <c r="Q184" s="28">
        <f>data[[#This Row],[Costo Producto
Proveedor ($/Unid)]]*data[[#This Row],[Cantidad]]</f>
        <v>0</v>
      </c>
      <c r="R184" s="28">
        <f>data[[#This Row],[Cantidad]]*data[[#This Row],[Precio de Venta Cliente ($/Unid)]]</f>
        <v>1979.6</v>
      </c>
      <c r="S184" s="29"/>
      <c r="T184" s="106" t="s">
        <v>134</v>
      </c>
      <c r="U184" s="106"/>
      <c r="V184" s="30" t="s">
        <v>473</v>
      </c>
      <c r="W184" s="174" t="s">
        <v>473</v>
      </c>
      <c r="X184" s="106" t="s">
        <v>473</v>
      </c>
      <c r="Y184" s="106" t="s">
        <v>473</v>
      </c>
      <c r="Z184" s="106" t="s">
        <v>504</v>
      </c>
      <c r="AA184" s="106" t="s">
        <v>1602</v>
      </c>
    </row>
    <row r="185" spans="2:27" x14ac:dyDescent="0.25">
      <c r="B185" s="174"/>
      <c r="C185" s="174" t="str">
        <f>TEXT(data[[#This Row],[Fecha de Envío
Cotización]],"MMMM")</f>
        <v>marzo</v>
      </c>
      <c r="D185" s="174">
        <v>44263</v>
      </c>
      <c r="E185" s="174" t="s">
        <v>473</v>
      </c>
      <c r="F185" s="174" t="s">
        <v>473</v>
      </c>
      <c r="G185" s="109"/>
      <c r="H185" s="174" t="s">
        <v>473</v>
      </c>
      <c r="I185" s="86">
        <v>511538</v>
      </c>
      <c r="J185" s="87">
        <v>20711</v>
      </c>
      <c r="K185" s="24" t="s">
        <v>32</v>
      </c>
      <c r="L185" s="106"/>
      <c r="M185" s="108" t="s">
        <v>517</v>
      </c>
      <c r="N185" s="106">
        <v>8</v>
      </c>
      <c r="O185" s="107"/>
      <c r="P185" s="27">
        <v>333.46</v>
      </c>
      <c r="Q185" s="28">
        <f>data[[#This Row],[Costo Producto
Proveedor ($/Unid)]]*data[[#This Row],[Cantidad]]</f>
        <v>0</v>
      </c>
      <c r="R185" s="28">
        <f>data[[#This Row],[Cantidad]]*data[[#This Row],[Precio de Venta Cliente ($/Unid)]]</f>
        <v>2667.68</v>
      </c>
      <c r="S185" s="29"/>
      <c r="T185" s="106" t="s">
        <v>134</v>
      </c>
      <c r="U185" s="106"/>
      <c r="V185" s="30" t="s">
        <v>473</v>
      </c>
      <c r="W185" s="174" t="s">
        <v>473</v>
      </c>
      <c r="X185" s="106" t="s">
        <v>473</v>
      </c>
      <c r="Y185" s="106" t="s">
        <v>473</v>
      </c>
      <c r="Z185" s="106" t="s">
        <v>504</v>
      </c>
      <c r="AA185" s="106" t="s">
        <v>1602</v>
      </c>
    </row>
    <row r="186" spans="2:27" x14ac:dyDescent="0.25">
      <c r="B186" s="23"/>
      <c r="C186" s="174" t="str">
        <f>TEXT(data[[#This Row],[Fecha de Envío
Cotización]],"MMMM")</f>
        <v>marzo</v>
      </c>
      <c r="D186" s="174">
        <v>44263</v>
      </c>
      <c r="E186" s="174" t="s">
        <v>473</v>
      </c>
      <c r="F186" s="23" t="s">
        <v>473</v>
      </c>
      <c r="G186" s="109"/>
      <c r="H186" s="23" t="s">
        <v>473</v>
      </c>
      <c r="I186" s="86">
        <v>511539</v>
      </c>
      <c r="J186" s="87">
        <v>20711</v>
      </c>
      <c r="K186" s="24" t="s">
        <v>32</v>
      </c>
      <c r="L186" s="106"/>
      <c r="M186" s="108" t="s">
        <v>518</v>
      </c>
      <c r="N186" s="22">
        <v>8</v>
      </c>
      <c r="O186" s="26"/>
      <c r="P186" s="27">
        <v>519.62</v>
      </c>
      <c r="Q186" s="28">
        <f>data[[#This Row],[Costo Producto
Proveedor ($/Unid)]]*data[[#This Row],[Cantidad]]</f>
        <v>0</v>
      </c>
      <c r="R186" s="28">
        <f>data[[#This Row],[Cantidad]]*data[[#This Row],[Precio de Venta Cliente ($/Unid)]]</f>
        <v>4156.96</v>
      </c>
      <c r="S186" s="29"/>
      <c r="T186" s="106" t="s">
        <v>134</v>
      </c>
      <c r="U186" s="106"/>
      <c r="V186" s="30" t="s">
        <v>473</v>
      </c>
      <c r="W186" s="174" t="s">
        <v>473</v>
      </c>
      <c r="X186" s="106" t="s">
        <v>473</v>
      </c>
      <c r="Y186" s="106" t="s">
        <v>473</v>
      </c>
      <c r="Z186" s="22" t="s">
        <v>504</v>
      </c>
      <c r="AA186" s="106" t="s">
        <v>1602</v>
      </c>
    </row>
    <row r="187" spans="2:27" x14ac:dyDescent="0.25">
      <c r="B187" s="174"/>
      <c r="C187" s="174" t="str">
        <f>TEXT(data[[#This Row],[Fecha de Envío
Cotización]],"MMMM")</f>
        <v>marzo</v>
      </c>
      <c r="D187" s="174">
        <v>44263</v>
      </c>
      <c r="E187" s="174" t="s">
        <v>473</v>
      </c>
      <c r="F187" s="174" t="s">
        <v>473</v>
      </c>
      <c r="G187" s="109"/>
      <c r="H187" s="174" t="s">
        <v>473</v>
      </c>
      <c r="I187" s="86">
        <v>511540</v>
      </c>
      <c r="J187" s="87">
        <v>20711</v>
      </c>
      <c r="K187" s="24" t="s">
        <v>32</v>
      </c>
      <c r="L187" s="106"/>
      <c r="M187" s="108" t="s">
        <v>519</v>
      </c>
      <c r="N187" s="106">
        <v>8</v>
      </c>
      <c r="O187" s="107"/>
      <c r="P187" s="27">
        <v>554.62</v>
      </c>
      <c r="Q187" s="28">
        <f>data[[#This Row],[Costo Producto
Proveedor ($/Unid)]]*data[[#This Row],[Cantidad]]</f>
        <v>0</v>
      </c>
      <c r="R187" s="28">
        <f>data[[#This Row],[Cantidad]]*data[[#This Row],[Precio de Venta Cliente ($/Unid)]]</f>
        <v>4436.96</v>
      </c>
      <c r="S187" s="29"/>
      <c r="T187" s="106" t="s">
        <v>134</v>
      </c>
      <c r="U187" s="106"/>
      <c r="V187" s="30" t="s">
        <v>473</v>
      </c>
      <c r="W187" s="174" t="s">
        <v>473</v>
      </c>
      <c r="X187" s="106" t="s">
        <v>473</v>
      </c>
      <c r="Y187" s="106" t="s">
        <v>473</v>
      </c>
      <c r="Z187" s="106" t="s">
        <v>504</v>
      </c>
      <c r="AA187" s="106" t="s">
        <v>1602</v>
      </c>
    </row>
    <row r="188" spans="2:27" x14ac:dyDescent="0.25">
      <c r="B188" s="174"/>
      <c r="C188" s="174" t="str">
        <f>TEXT(data[[#This Row],[Fecha de Envío
Cotización]],"MMMM")</f>
        <v>marzo</v>
      </c>
      <c r="D188" s="174">
        <v>44263</v>
      </c>
      <c r="E188" s="174" t="s">
        <v>473</v>
      </c>
      <c r="F188" s="174" t="s">
        <v>473</v>
      </c>
      <c r="G188" s="109"/>
      <c r="H188" s="174" t="s">
        <v>473</v>
      </c>
      <c r="I188" s="86">
        <v>511541</v>
      </c>
      <c r="J188" s="87">
        <v>20711</v>
      </c>
      <c r="K188" s="24" t="s">
        <v>32</v>
      </c>
      <c r="L188" s="106"/>
      <c r="M188" s="108" t="s">
        <v>520</v>
      </c>
      <c r="N188" s="106">
        <v>8</v>
      </c>
      <c r="O188" s="107"/>
      <c r="P188" s="27">
        <v>823.18</v>
      </c>
      <c r="Q188" s="28">
        <f>data[[#This Row],[Costo Producto
Proveedor ($/Unid)]]*data[[#This Row],[Cantidad]]</f>
        <v>0</v>
      </c>
      <c r="R188" s="28">
        <f>data[[#This Row],[Cantidad]]*data[[#This Row],[Precio de Venta Cliente ($/Unid)]]</f>
        <v>6585.44</v>
      </c>
      <c r="S188" s="29"/>
      <c r="T188" s="106" t="s">
        <v>134</v>
      </c>
      <c r="U188" s="106"/>
      <c r="V188" s="30" t="s">
        <v>473</v>
      </c>
      <c r="W188" s="174" t="s">
        <v>473</v>
      </c>
      <c r="X188" s="106" t="s">
        <v>473</v>
      </c>
      <c r="Y188" s="106" t="s">
        <v>473</v>
      </c>
      <c r="Z188" s="106" t="s">
        <v>504</v>
      </c>
      <c r="AA188" s="106" t="s">
        <v>1602</v>
      </c>
    </row>
    <row r="189" spans="2:27" x14ac:dyDescent="0.25">
      <c r="B189" s="174"/>
      <c r="C189" s="174" t="str">
        <f>TEXT(data[[#This Row],[Fecha de Envío
Cotización]],"MMMM")</f>
        <v>marzo</v>
      </c>
      <c r="D189" s="174">
        <v>44263</v>
      </c>
      <c r="E189" s="174">
        <v>44315</v>
      </c>
      <c r="F189" s="174"/>
      <c r="G189" s="109">
        <v>4500305285</v>
      </c>
      <c r="H189" s="174">
        <v>44315</v>
      </c>
      <c r="I189" s="86">
        <v>511542</v>
      </c>
      <c r="J189" s="87">
        <v>20711</v>
      </c>
      <c r="K189" s="24" t="s">
        <v>32</v>
      </c>
      <c r="L189" s="106" t="s">
        <v>70</v>
      </c>
      <c r="M189" s="108" t="s">
        <v>994</v>
      </c>
      <c r="N189" s="106">
        <v>3</v>
      </c>
      <c r="O189" s="107"/>
      <c r="P189" s="27">
        <v>835.47</v>
      </c>
      <c r="Q189" s="28">
        <f>data[[#This Row],[Costo Producto
Proveedor ($/Unid)]]*data[[#This Row],[Cantidad]]</f>
        <v>0</v>
      </c>
      <c r="R189" s="121">
        <f>data[[#This Row],[Cantidad]]*data[[#This Row],[Precio de Venta Cliente ($/Unid)]]</f>
        <v>2506.41</v>
      </c>
      <c r="S189" s="29"/>
      <c r="T189" s="106" t="s">
        <v>134</v>
      </c>
      <c r="U189" s="106"/>
      <c r="V189" s="30" t="s">
        <v>44</v>
      </c>
      <c r="W189" s="174" t="s">
        <v>46</v>
      </c>
      <c r="X189" s="106" t="s">
        <v>503</v>
      </c>
      <c r="Y189" s="106" t="s">
        <v>503</v>
      </c>
      <c r="Z189" s="106" t="s">
        <v>504</v>
      </c>
      <c r="AA189" s="106"/>
    </row>
    <row r="190" spans="2:27" x14ac:dyDescent="0.25">
      <c r="B190" s="174"/>
      <c r="C190" s="174" t="str">
        <f>TEXT(data[[#This Row],[Fecha de Envío
Cotización]],"MMMM")</f>
        <v>marzo</v>
      </c>
      <c r="D190" s="174">
        <v>44263</v>
      </c>
      <c r="E190" s="174" t="str">
        <f>IF(data[[#This Row],[Estatus de 
Cotización]]="PERDIDO","N/A","")</f>
        <v>N/A</v>
      </c>
      <c r="F190" s="174"/>
      <c r="G190" s="109"/>
      <c r="H190" s="174"/>
      <c r="I190" s="86">
        <v>511543</v>
      </c>
      <c r="J190" s="87">
        <v>20711</v>
      </c>
      <c r="K190" s="24" t="s">
        <v>32</v>
      </c>
      <c r="L190" s="106" t="s">
        <v>501</v>
      </c>
      <c r="M190" s="108" t="s">
        <v>515</v>
      </c>
      <c r="N190" s="106">
        <v>8</v>
      </c>
      <c r="O190" s="107"/>
      <c r="P190" s="27">
        <v>209</v>
      </c>
      <c r="Q190" s="28">
        <f>data[[#This Row],[Costo Producto
Proveedor ($/Unid)]]*data[[#This Row],[Cantidad]]</f>
        <v>0</v>
      </c>
      <c r="R190" s="28">
        <f>data[[#This Row],[Cantidad]]*data[[#This Row],[Precio de Venta Cliente ($/Unid)]]</f>
        <v>1672</v>
      </c>
      <c r="S190" s="29"/>
      <c r="T190" s="106" t="s">
        <v>36</v>
      </c>
      <c r="U190" s="106" t="s">
        <v>37</v>
      </c>
      <c r="V190" s="30" t="s">
        <v>42</v>
      </c>
      <c r="W190" s="174" t="s">
        <v>42</v>
      </c>
      <c r="X190" s="106" t="s">
        <v>23</v>
      </c>
      <c r="Y190" s="106" t="s">
        <v>23</v>
      </c>
      <c r="Z190" s="106" t="s">
        <v>504</v>
      </c>
      <c r="AA190" s="106" t="s">
        <v>516</v>
      </c>
    </row>
    <row r="191" spans="2:27" x14ac:dyDescent="0.25">
      <c r="B191" s="23"/>
      <c r="C191" s="174" t="str">
        <f>TEXT(data[[#This Row],[Fecha de Envío
Cotización]],"MMMM")</f>
        <v>marzo</v>
      </c>
      <c r="D191" s="174">
        <v>44263</v>
      </c>
      <c r="E191" s="174" t="str">
        <f>IF(data[[#This Row],[Estatus de 
Cotización]]="PERDIDO","N/A","")</f>
        <v>N/A</v>
      </c>
      <c r="F191" s="23"/>
      <c r="G191" s="109"/>
      <c r="H191" s="23"/>
      <c r="I191" s="86">
        <v>511544</v>
      </c>
      <c r="J191" s="87">
        <v>20711</v>
      </c>
      <c r="K191" s="24" t="s">
        <v>32</v>
      </c>
      <c r="L191" s="106" t="s">
        <v>501</v>
      </c>
      <c r="M191" s="108" t="s">
        <v>517</v>
      </c>
      <c r="N191" s="22">
        <v>8</v>
      </c>
      <c r="O191" s="26"/>
      <c r="P191" s="27">
        <v>309</v>
      </c>
      <c r="Q191" s="28">
        <f>data[[#This Row],[Costo Producto
Proveedor ($/Unid)]]*data[[#This Row],[Cantidad]]</f>
        <v>0</v>
      </c>
      <c r="R191" s="28">
        <f>data[[#This Row],[Cantidad]]*data[[#This Row],[Precio de Venta Cliente ($/Unid)]]</f>
        <v>2472</v>
      </c>
      <c r="S191" s="29"/>
      <c r="T191" s="106" t="s">
        <v>36</v>
      </c>
      <c r="U191" s="106" t="s">
        <v>37</v>
      </c>
      <c r="V191" s="30" t="s">
        <v>42</v>
      </c>
      <c r="W191" s="174" t="s">
        <v>42</v>
      </c>
      <c r="X191" s="106" t="s">
        <v>23</v>
      </c>
      <c r="Y191" s="106" t="s">
        <v>23</v>
      </c>
      <c r="Z191" s="22" t="s">
        <v>504</v>
      </c>
      <c r="AA191" s="106" t="s">
        <v>516</v>
      </c>
    </row>
    <row r="192" spans="2:27" x14ac:dyDescent="0.25">
      <c r="B192" s="23"/>
      <c r="C192" s="174" t="str">
        <f>TEXT(data[[#This Row],[Fecha de Envío
Cotización]],"MMMM")</f>
        <v>marzo</v>
      </c>
      <c r="D192" s="174">
        <v>44263</v>
      </c>
      <c r="E192" s="174" t="str">
        <f>IF(data[[#This Row],[Estatus de 
Cotización]]="PERDIDO","N/A","")</f>
        <v>N/A</v>
      </c>
      <c r="F192" s="23"/>
      <c r="G192" s="109"/>
      <c r="H192" s="23"/>
      <c r="I192" s="86">
        <v>511545</v>
      </c>
      <c r="J192" s="87">
        <v>20711</v>
      </c>
      <c r="K192" s="24" t="s">
        <v>32</v>
      </c>
      <c r="L192" s="106" t="s">
        <v>501</v>
      </c>
      <c r="M192" s="108" t="s">
        <v>518</v>
      </c>
      <c r="N192" s="22">
        <v>8</v>
      </c>
      <c r="O192" s="26"/>
      <c r="P192" s="27">
        <v>476</v>
      </c>
      <c r="Q192" s="28">
        <f>data[[#This Row],[Costo Producto
Proveedor ($/Unid)]]*data[[#This Row],[Cantidad]]</f>
        <v>0</v>
      </c>
      <c r="R192" s="28">
        <f>data[[#This Row],[Cantidad]]*data[[#This Row],[Precio de Venta Cliente ($/Unid)]]</f>
        <v>3808</v>
      </c>
      <c r="S192" s="29"/>
      <c r="T192" s="106" t="s">
        <v>36</v>
      </c>
      <c r="U192" s="106" t="s">
        <v>37</v>
      </c>
      <c r="V192" s="30" t="s">
        <v>42</v>
      </c>
      <c r="W192" s="174" t="s">
        <v>42</v>
      </c>
      <c r="X192" s="106" t="s">
        <v>23</v>
      </c>
      <c r="Y192" s="106" t="s">
        <v>23</v>
      </c>
      <c r="Z192" s="22" t="s">
        <v>504</v>
      </c>
      <c r="AA192" s="106" t="s">
        <v>516</v>
      </c>
    </row>
    <row r="193" spans="2:27" x14ac:dyDescent="0.25">
      <c r="B193" s="23"/>
      <c r="C193" s="174" t="str">
        <f>TEXT(data[[#This Row],[Fecha de Envío
Cotización]],"MMMM")</f>
        <v>marzo</v>
      </c>
      <c r="D193" s="174">
        <v>44263</v>
      </c>
      <c r="E193" s="174" t="str">
        <f>IF(data[[#This Row],[Estatus de 
Cotización]]="PERDIDO","N/A","")</f>
        <v>N/A</v>
      </c>
      <c r="F193" s="23"/>
      <c r="G193" s="109"/>
      <c r="H193" s="23"/>
      <c r="I193" s="86">
        <v>511546</v>
      </c>
      <c r="J193" s="87">
        <v>20711</v>
      </c>
      <c r="K193" s="24" t="s">
        <v>32</v>
      </c>
      <c r="L193" s="106" t="s">
        <v>501</v>
      </c>
      <c r="M193" s="108" t="s">
        <v>519</v>
      </c>
      <c r="N193" s="22">
        <v>8</v>
      </c>
      <c r="O193" s="26"/>
      <c r="P193" s="27">
        <v>506</v>
      </c>
      <c r="Q193" s="28">
        <f>data[[#This Row],[Costo Producto
Proveedor ($/Unid)]]*data[[#This Row],[Cantidad]]</f>
        <v>0</v>
      </c>
      <c r="R193" s="28">
        <f>data[[#This Row],[Cantidad]]*data[[#This Row],[Precio de Venta Cliente ($/Unid)]]</f>
        <v>4048</v>
      </c>
      <c r="S193" s="29"/>
      <c r="T193" s="106" t="s">
        <v>36</v>
      </c>
      <c r="U193" s="106" t="s">
        <v>37</v>
      </c>
      <c r="V193" s="30" t="s">
        <v>42</v>
      </c>
      <c r="W193" s="174" t="s">
        <v>42</v>
      </c>
      <c r="X193" s="106" t="s">
        <v>23</v>
      </c>
      <c r="Y193" s="106" t="s">
        <v>23</v>
      </c>
      <c r="Z193" s="22" t="s">
        <v>504</v>
      </c>
      <c r="AA193" s="106" t="s">
        <v>516</v>
      </c>
    </row>
    <row r="194" spans="2:27" x14ac:dyDescent="0.25">
      <c r="B194" s="174"/>
      <c r="C194" s="174" t="str">
        <f>TEXT(data[[#This Row],[Fecha de Envío
Cotización]],"MMMM")</f>
        <v>marzo</v>
      </c>
      <c r="D194" s="174">
        <v>44263</v>
      </c>
      <c r="E194" s="174" t="str">
        <f>IF(data[[#This Row],[Estatus de 
Cotización]]="PERDIDO","N/A","")</f>
        <v>N/A</v>
      </c>
      <c r="F194" s="174"/>
      <c r="G194" s="109"/>
      <c r="H194" s="174"/>
      <c r="I194" s="86">
        <v>511547</v>
      </c>
      <c r="J194" s="87">
        <v>20711</v>
      </c>
      <c r="K194" s="24" t="s">
        <v>32</v>
      </c>
      <c r="L194" s="106" t="s">
        <v>501</v>
      </c>
      <c r="M194" s="108" t="s">
        <v>520</v>
      </c>
      <c r="N194" s="106">
        <v>8</v>
      </c>
      <c r="O194" s="107"/>
      <c r="P194" s="27">
        <v>762</v>
      </c>
      <c r="Q194" s="28">
        <f>data[[#This Row],[Costo Producto
Proveedor ($/Unid)]]*data[[#This Row],[Cantidad]]</f>
        <v>0</v>
      </c>
      <c r="R194" s="28">
        <f>data[[#This Row],[Cantidad]]*data[[#This Row],[Precio de Venta Cliente ($/Unid)]]</f>
        <v>6096</v>
      </c>
      <c r="S194" s="29"/>
      <c r="T194" s="106" t="s">
        <v>36</v>
      </c>
      <c r="U194" s="106" t="s">
        <v>37</v>
      </c>
      <c r="V194" s="30" t="s">
        <v>42</v>
      </c>
      <c r="W194" s="174" t="s">
        <v>42</v>
      </c>
      <c r="X194" s="106" t="s">
        <v>23</v>
      </c>
      <c r="Y194" s="106" t="s">
        <v>23</v>
      </c>
      <c r="Z194" s="106" t="s">
        <v>504</v>
      </c>
      <c r="AA194" s="106" t="s">
        <v>516</v>
      </c>
    </row>
    <row r="195" spans="2:27" x14ac:dyDescent="0.25">
      <c r="B195" s="174"/>
      <c r="C195" s="174" t="str">
        <f>TEXT(data[[#This Row],[Fecha de Envío
Cotización]],"MMMM")</f>
        <v>marzo</v>
      </c>
      <c r="D195" s="174">
        <v>44266</v>
      </c>
      <c r="E195" s="174" t="str">
        <f>IF(data[[#This Row],[Estatus de 
Cotización]]="PERDIDO","N/A","")</f>
        <v>N/A</v>
      </c>
      <c r="F195" s="174"/>
      <c r="G195" s="109"/>
      <c r="H195" s="174"/>
      <c r="I195" s="86">
        <v>511567</v>
      </c>
      <c r="J195" s="87">
        <v>20712</v>
      </c>
      <c r="K195" s="24" t="s">
        <v>32</v>
      </c>
      <c r="L195" s="106" t="s">
        <v>38</v>
      </c>
      <c r="M195" s="34" t="s">
        <v>521</v>
      </c>
      <c r="N195" s="106">
        <v>100</v>
      </c>
      <c r="O195" s="107"/>
      <c r="P195" s="27">
        <v>7.23</v>
      </c>
      <c r="Q195" s="28">
        <f>data[[#This Row],[Costo Producto
Proveedor ($/Unid)]]*data[[#This Row],[Cantidad]]</f>
        <v>0</v>
      </c>
      <c r="R195" s="28">
        <f>data[[#This Row],[Cantidad]]*data[[#This Row],[Precio de Venta Cliente ($/Unid)]]</f>
        <v>723</v>
      </c>
      <c r="S195" s="29"/>
      <c r="T195" s="106" t="s">
        <v>22</v>
      </c>
      <c r="U195" s="106"/>
      <c r="V195" s="30" t="s">
        <v>42</v>
      </c>
      <c r="W195" s="174" t="s">
        <v>42</v>
      </c>
      <c r="X195" s="106" t="s">
        <v>23</v>
      </c>
      <c r="Y195" s="106" t="s">
        <v>23</v>
      </c>
      <c r="Z195" s="106" t="s">
        <v>504</v>
      </c>
      <c r="AA195" s="106"/>
    </row>
    <row r="196" spans="2:27" x14ac:dyDescent="0.25">
      <c r="B196" s="174"/>
      <c r="C196" s="174" t="str">
        <f>TEXT(data[[#This Row],[Fecha de Envío
Cotización]],"MMMM")</f>
        <v>marzo</v>
      </c>
      <c r="D196" s="174">
        <v>44266</v>
      </c>
      <c r="E196" s="174" t="str">
        <f>IF(data[[#This Row],[Estatus de 
Cotización]]="PERDIDO","N/A","")</f>
        <v>N/A</v>
      </c>
      <c r="F196" s="174"/>
      <c r="G196" s="109"/>
      <c r="H196" s="174"/>
      <c r="I196" s="86">
        <v>511568</v>
      </c>
      <c r="J196" s="87">
        <v>20712</v>
      </c>
      <c r="K196" s="24" t="s">
        <v>32</v>
      </c>
      <c r="L196" s="106" t="s">
        <v>38</v>
      </c>
      <c r="M196" s="34" t="s">
        <v>522</v>
      </c>
      <c r="N196" s="106">
        <v>24</v>
      </c>
      <c r="O196" s="107"/>
      <c r="P196" s="27">
        <v>18.010000000000002</v>
      </c>
      <c r="Q196" s="28">
        <f>data[[#This Row],[Costo Producto
Proveedor ($/Unid)]]*data[[#This Row],[Cantidad]]</f>
        <v>0</v>
      </c>
      <c r="R196" s="28">
        <f>data[[#This Row],[Cantidad]]*data[[#This Row],[Precio de Venta Cliente ($/Unid)]]</f>
        <v>432.24</v>
      </c>
      <c r="S196" s="29"/>
      <c r="T196" s="106" t="s">
        <v>22</v>
      </c>
      <c r="U196" s="106"/>
      <c r="V196" s="30" t="s">
        <v>42</v>
      </c>
      <c r="W196" s="174" t="s">
        <v>42</v>
      </c>
      <c r="X196" s="106" t="s">
        <v>23</v>
      </c>
      <c r="Y196" s="106" t="s">
        <v>23</v>
      </c>
      <c r="Z196" s="106" t="s">
        <v>504</v>
      </c>
      <c r="AA196" s="106"/>
    </row>
    <row r="197" spans="2:27" x14ac:dyDescent="0.25">
      <c r="B197" s="174"/>
      <c r="C197" s="174" t="str">
        <f>TEXT(data[[#This Row],[Fecha de Envío
Cotización]],"MMMM")</f>
        <v>marzo</v>
      </c>
      <c r="D197" s="174">
        <v>44266</v>
      </c>
      <c r="E197" s="174" t="str">
        <f>IF(data[[#This Row],[Estatus de 
Cotización]]="PERDIDO","N/A","")</f>
        <v>N/A</v>
      </c>
      <c r="F197" s="174"/>
      <c r="G197" s="109"/>
      <c r="H197" s="174"/>
      <c r="I197" s="86">
        <v>511569</v>
      </c>
      <c r="J197" s="87">
        <v>20712</v>
      </c>
      <c r="K197" s="24" t="s">
        <v>32</v>
      </c>
      <c r="L197" s="106" t="s">
        <v>38</v>
      </c>
      <c r="M197" s="34" t="s">
        <v>523</v>
      </c>
      <c r="N197" s="106">
        <v>10</v>
      </c>
      <c r="O197" s="107"/>
      <c r="P197" s="27">
        <v>11.44</v>
      </c>
      <c r="Q197" s="28">
        <f>data[[#This Row],[Costo Producto
Proveedor ($/Unid)]]*data[[#This Row],[Cantidad]]</f>
        <v>0</v>
      </c>
      <c r="R197" s="28">
        <f>data[[#This Row],[Cantidad]]*data[[#This Row],[Precio de Venta Cliente ($/Unid)]]</f>
        <v>114.39999999999999</v>
      </c>
      <c r="S197" s="29"/>
      <c r="T197" s="106" t="s">
        <v>22</v>
      </c>
      <c r="U197" s="106"/>
      <c r="V197" s="30" t="s">
        <v>42</v>
      </c>
      <c r="W197" s="174" t="s">
        <v>42</v>
      </c>
      <c r="X197" s="106" t="s">
        <v>23</v>
      </c>
      <c r="Y197" s="106" t="s">
        <v>23</v>
      </c>
      <c r="Z197" s="106" t="s">
        <v>504</v>
      </c>
      <c r="AA197" s="106"/>
    </row>
    <row r="198" spans="2:27" x14ac:dyDescent="0.25">
      <c r="B198" s="174"/>
      <c r="C198" s="174" t="str">
        <f>TEXT(data[[#This Row],[Fecha de Envío
Cotización]],"MMMM")</f>
        <v>marzo</v>
      </c>
      <c r="D198" s="174">
        <v>44266</v>
      </c>
      <c r="E198" s="174" t="str">
        <f>IF(data[[#This Row],[Estatus de 
Cotización]]="PERDIDO","N/A","")</f>
        <v>N/A</v>
      </c>
      <c r="F198" s="174"/>
      <c r="G198" s="109"/>
      <c r="H198" s="174"/>
      <c r="I198" s="86">
        <v>511570</v>
      </c>
      <c r="J198" s="87">
        <v>20712</v>
      </c>
      <c r="K198" s="24" t="s">
        <v>32</v>
      </c>
      <c r="L198" s="106" t="s">
        <v>38</v>
      </c>
      <c r="M198" s="34" t="s">
        <v>524</v>
      </c>
      <c r="N198" s="106">
        <v>3</v>
      </c>
      <c r="O198" s="107"/>
      <c r="P198" s="27">
        <v>7.15</v>
      </c>
      <c r="Q198" s="28">
        <f>data[[#This Row],[Costo Producto
Proveedor ($/Unid)]]*data[[#This Row],[Cantidad]]</f>
        <v>0</v>
      </c>
      <c r="R198" s="28">
        <f>data[[#This Row],[Cantidad]]*data[[#This Row],[Precio de Venta Cliente ($/Unid)]]</f>
        <v>21.450000000000003</v>
      </c>
      <c r="S198" s="29"/>
      <c r="T198" s="106" t="s">
        <v>22</v>
      </c>
      <c r="U198" s="106"/>
      <c r="V198" s="30" t="s">
        <v>42</v>
      </c>
      <c r="W198" s="174" t="s">
        <v>42</v>
      </c>
      <c r="X198" s="106" t="s">
        <v>23</v>
      </c>
      <c r="Y198" s="106" t="s">
        <v>23</v>
      </c>
      <c r="Z198" s="106" t="s">
        <v>504</v>
      </c>
      <c r="AA198" s="106"/>
    </row>
    <row r="199" spans="2:27" x14ac:dyDescent="0.25">
      <c r="B199" s="174"/>
      <c r="C199" s="174" t="str">
        <f>TEXT(data[[#This Row],[Fecha de Envío
Cotización]],"MMMM")</f>
        <v>marzo</v>
      </c>
      <c r="D199" s="174">
        <v>44266</v>
      </c>
      <c r="E199" s="174" t="str">
        <f>IF(data[[#This Row],[Estatus de 
Cotización]]="PERDIDO","N/A","")</f>
        <v>N/A</v>
      </c>
      <c r="F199" s="174"/>
      <c r="G199" s="109"/>
      <c r="H199" s="174"/>
      <c r="I199" s="86">
        <v>511571</v>
      </c>
      <c r="J199" s="87">
        <v>20712</v>
      </c>
      <c r="K199" s="24" t="s">
        <v>32</v>
      </c>
      <c r="L199" s="106" t="s">
        <v>38</v>
      </c>
      <c r="M199" s="34" t="s">
        <v>525</v>
      </c>
      <c r="N199" s="106">
        <v>50</v>
      </c>
      <c r="O199" s="107"/>
      <c r="P199" s="27">
        <v>7.49</v>
      </c>
      <c r="Q199" s="28">
        <f>data[[#This Row],[Costo Producto
Proveedor ($/Unid)]]*data[[#This Row],[Cantidad]]</f>
        <v>0</v>
      </c>
      <c r="R199" s="28">
        <f>data[[#This Row],[Cantidad]]*data[[#This Row],[Precio de Venta Cliente ($/Unid)]]</f>
        <v>374.5</v>
      </c>
      <c r="S199" s="29"/>
      <c r="T199" s="106" t="s">
        <v>22</v>
      </c>
      <c r="U199" s="106"/>
      <c r="V199" s="30" t="s">
        <v>42</v>
      </c>
      <c r="W199" s="174" t="s">
        <v>42</v>
      </c>
      <c r="X199" s="106" t="s">
        <v>23</v>
      </c>
      <c r="Y199" s="106" t="s">
        <v>23</v>
      </c>
      <c r="Z199" s="106" t="s">
        <v>504</v>
      </c>
      <c r="AA199" s="106"/>
    </row>
    <row r="200" spans="2:27" x14ac:dyDescent="0.25">
      <c r="B200" s="23"/>
      <c r="C200" s="174" t="str">
        <f>TEXT(data[[#This Row],[Fecha de Envío
Cotización]],"MMMM")</f>
        <v>marzo</v>
      </c>
      <c r="D200" s="23">
        <v>44266</v>
      </c>
      <c r="E200" s="174" t="str">
        <f>IF(data[[#This Row],[Estatus de 
Cotización]]="PERDIDO","N/A","")</f>
        <v>N/A</v>
      </c>
      <c r="F200" s="23"/>
      <c r="G200" s="109"/>
      <c r="H200" s="23"/>
      <c r="I200" s="86">
        <v>511572</v>
      </c>
      <c r="J200" s="87">
        <v>20712</v>
      </c>
      <c r="K200" s="24" t="s">
        <v>32</v>
      </c>
      <c r="L200" s="106" t="s">
        <v>38</v>
      </c>
      <c r="M200" s="34" t="s">
        <v>526</v>
      </c>
      <c r="N200" s="22">
        <v>12</v>
      </c>
      <c r="O200" s="26"/>
      <c r="P200" s="27">
        <v>5.2</v>
      </c>
      <c r="Q200" s="28">
        <f>data[[#This Row],[Costo Producto
Proveedor ($/Unid)]]*data[[#This Row],[Cantidad]]</f>
        <v>0</v>
      </c>
      <c r="R200" s="28">
        <f>data[[#This Row],[Cantidad]]*data[[#This Row],[Precio de Venta Cliente ($/Unid)]]</f>
        <v>62.400000000000006</v>
      </c>
      <c r="S200" s="29"/>
      <c r="T200" s="106" t="s">
        <v>22</v>
      </c>
      <c r="U200" s="106"/>
      <c r="V200" s="30" t="s">
        <v>42</v>
      </c>
      <c r="W200" s="174" t="s">
        <v>42</v>
      </c>
      <c r="X200" s="106" t="s">
        <v>23</v>
      </c>
      <c r="Y200" s="106" t="s">
        <v>23</v>
      </c>
      <c r="Z200" s="22" t="s">
        <v>504</v>
      </c>
      <c r="AA200" s="106"/>
    </row>
    <row r="201" spans="2:27" x14ac:dyDescent="0.25">
      <c r="B201" s="174"/>
      <c r="C201" s="174" t="str">
        <f>TEXT(data[[#This Row],[Fecha de Envío
Cotización]],"MMMM")</f>
        <v>marzo</v>
      </c>
      <c r="D201" s="174">
        <v>44267</v>
      </c>
      <c r="E201" s="174" t="str">
        <f>IF(data[[#This Row],[Estatus de 
Cotización]]="PERDIDO","N/A","")</f>
        <v>N/A</v>
      </c>
      <c r="F201" s="174"/>
      <c r="G201" s="109"/>
      <c r="H201" s="174"/>
      <c r="I201" s="86">
        <v>511580</v>
      </c>
      <c r="J201" s="87">
        <v>20713</v>
      </c>
      <c r="K201" s="24" t="s">
        <v>32</v>
      </c>
      <c r="L201" s="106" t="s">
        <v>64</v>
      </c>
      <c r="M201" s="34" t="s">
        <v>527</v>
      </c>
      <c r="N201" s="106">
        <v>60</v>
      </c>
      <c r="O201" s="107"/>
      <c r="P201" s="27">
        <v>14.77</v>
      </c>
      <c r="Q201" s="28">
        <f>data[[#This Row],[Costo Producto
Proveedor ($/Unid)]]*data[[#This Row],[Cantidad]]</f>
        <v>0</v>
      </c>
      <c r="R201" s="28">
        <f>data[[#This Row],[Cantidad]]*data[[#This Row],[Precio de Venta Cliente ($/Unid)]]</f>
        <v>886.19999999999993</v>
      </c>
      <c r="S201" s="29"/>
      <c r="T201" s="106" t="s">
        <v>22</v>
      </c>
      <c r="U201" s="106"/>
      <c r="V201" s="30" t="s">
        <v>42</v>
      </c>
      <c r="W201" s="174" t="s">
        <v>42</v>
      </c>
      <c r="X201" s="106" t="s">
        <v>23</v>
      </c>
      <c r="Y201" s="106" t="s">
        <v>23</v>
      </c>
      <c r="Z201" s="106" t="s">
        <v>504</v>
      </c>
      <c r="AA201" s="106"/>
    </row>
    <row r="202" spans="2:27" x14ac:dyDescent="0.25">
      <c r="B202" s="174"/>
      <c r="C202" s="174" t="str">
        <f>TEXT(data[[#This Row],[Fecha de Envío
Cotización]],"MMMM")</f>
        <v>marzo</v>
      </c>
      <c r="D202" s="174">
        <v>44270</v>
      </c>
      <c r="E202" s="174" t="s">
        <v>473</v>
      </c>
      <c r="F202" s="174" t="s">
        <v>473</v>
      </c>
      <c r="G202" s="109"/>
      <c r="H202" s="174" t="s">
        <v>473</v>
      </c>
      <c r="I202" s="86">
        <v>511582</v>
      </c>
      <c r="J202" s="87" t="s">
        <v>528</v>
      </c>
      <c r="K202" s="24" t="s">
        <v>32</v>
      </c>
      <c r="L202" s="21" t="s">
        <v>501</v>
      </c>
      <c r="M202" s="111" t="s">
        <v>529</v>
      </c>
      <c r="N202" s="106">
        <v>1</v>
      </c>
      <c r="O202" s="107"/>
      <c r="P202" s="27">
        <v>946.18</v>
      </c>
      <c r="Q202" s="28">
        <f>data[[#This Row],[Costo Producto
Proveedor ($/Unid)]]*data[[#This Row],[Cantidad]]</f>
        <v>0</v>
      </c>
      <c r="R202" s="28">
        <f>data[[#This Row],[Cantidad]]*data[[#This Row],[Precio de Venta Cliente ($/Unid)]]</f>
        <v>946.18</v>
      </c>
      <c r="S202" s="29"/>
      <c r="T202" s="106" t="s">
        <v>73</v>
      </c>
      <c r="U202" s="106"/>
      <c r="V202" s="30" t="s">
        <v>473</v>
      </c>
      <c r="W202" s="30" t="s">
        <v>473</v>
      </c>
      <c r="X202" s="30" t="s">
        <v>473</v>
      </c>
      <c r="Y202" s="30" t="s">
        <v>473</v>
      </c>
      <c r="Z202" s="106" t="s">
        <v>504</v>
      </c>
      <c r="AA202" s="106" t="s">
        <v>530</v>
      </c>
    </row>
    <row r="203" spans="2:27" x14ac:dyDescent="0.25">
      <c r="B203" s="174"/>
      <c r="C203" s="174" t="str">
        <f>TEXT(data[[#This Row],[Fecha de Envío
Cotización]],"MMMM")</f>
        <v>marzo</v>
      </c>
      <c r="D203" s="23">
        <v>44270</v>
      </c>
      <c r="E203" s="174" t="s">
        <v>473</v>
      </c>
      <c r="F203" s="174" t="s">
        <v>473</v>
      </c>
      <c r="G203" s="109"/>
      <c r="H203" s="174" t="s">
        <v>473</v>
      </c>
      <c r="I203" s="86">
        <v>511583</v>
      </c>
      <c r="J203" s="87" t="s">
        <v>528</v>
      </c>
      <c r="K203" s="24" t="s">
        <v>32</v>
      </c>
      <c r="L203" s="21" t="s">
        <v>501</v>
      </c>
      <c r="M203" s="111" t="s">
        <v>531</v>
      </c>
      <c r="N203" s="22">
        <v>1</v>
      </c>
      <c r="O203" s="26"/>
      <c r="P203" s="27">
        <v>77.84</v>
      </c>
      <c r="Q203" s="28">
        <f>data[[#This Row],[Costo Producto
Proveedor ($/Unid)]]*data[[#This Row],[Cantidad]]</f>
        <v>0</v>
      </c>
      <c r="R203" s="28">
        <f>data[[#This Row],[Cantidad]]*data[[#This Row],[Precio de Venta Cliente ($/Unid)]]</f>
        <v>77.84</v>
      </c>
      <c r="S203" s="29"/>
      <c r="T203" s="106" t="s">
        <v>73</v>
      </c>
      <c r="U203" s="106"/>
      <c r="V203" s="30" t="s">
        <v>473</v>
      </c>
      <c r="W203" s="30" t="s">
        <v>473</v>
      </c>
      <c r="X203" s="30" t="s">
        <v>473</v>
      </c>
      <c r="Y203" s="30" t="s">
        <v>473</v>
      </c>
      <c r="Z203" s="22" t="s">
        <v>504</v>
      </c>
      <c r="AA203" s="106" t="s">
        <v>530</v>
      </c>
    </row>
    <row r="204" spans="2:27" x14ac:dyDescent="0.25">
      <c r="B204" s="174"/>
      <c r="C204" s="174" t="str">
        <f>TEXT(data[[#This Row],[Fecha de Envío
Cotización]],"MMMM")</f>
        <v>marzo</v>
      </c>
      <c r="D204" s="23">
        <v>44270</v>
      </c>
      <c r="E204" s="174" t="s">
        <v>473</v>
      </c>
      <c r="F204" s="174" t="s">
        <v>473</v>
      </c>
      <c r="G204" s="109"/>
      <c r="H204" s="174" t="s">
        <v>473</v>
      </c>
      <c r="I204" s="86">
        <v>511584</v>
      </c>
      <c r="J204" s="87" t="s">
        <v>528</v>
      </c>
      <c r="K204" s="24" t="s">
        <v>32</v>
      </c>
      <c r="L204" s="21" t="s">
        <v>501</v>
      </c>
      <c r="M204" s="111" t="s">
        <v>532</v>
      </c>
      <c r="N204" s="22">
        <v>1</v>
      </c>
      <c r="O204" s="26"/>
      <c r="P204" s="27">
        <v>263.69</v>
      </c>
      <c r="Q204" s="28">
        <f>data[[#This Row],[Costo Producto
Proveedor ($/Unid)]]*data[[#This Row],[Cantidad]]</f>
        <v>0</v>
      </c>
      <c r="R204" s="28">
        <f>data[[#This Row],[Cantidad]]*data[[#This Row],[Precio de Venta Cliente ($/Unid)]]</f>
        <v>263.69</v>
      </c>
      <c r="S204" s="29"/>
      <c r="T204" s="106" t="s">
        <v>73</v>
      </c>
      <c r="U204" s="106"/>
      <c r="V204" s="30" t="s">
        <v>473</v>
      </c>
      <c r="W204" s="30" t="s">
        <v>473</v>
      </c>
      <c r="X204" s="30" t="s">
        <v>473</v>
      </c>
      <c r="Y204" s="30" t="s">
        <v>473</v>
      </c>
      <c r="Z204" s="22" t="s">
        <v>504</v>
      </c>
      <c r="AA204" s="106" t="s">
        <v>530</v>
      </c>
    </row>
    <row r="205" spans="2:27" x14ac:dyDescent="0.25">
      <c r="B205" s="174"/>
      <c r="C205" s="174" t="str">
        <f>TEXT(data[[#This Row],[Fecha de Envío
Cotización]],"MMMM")</f>
        <v>marzo</v>
      </c>
      <c r="D205" s="23">
        <v>44270</v>
      </c>
      <c r="E205" s="174" t="str">
        <f>IF(data[[#This Row],[Estatus de 
Cotización]]="PERDIDO","N/A","")</f>
        <v>N/A</v>
      </c>
      <c r="F205" s="174"/>
      <c r="G205" s="109"/>
      <c r="H205" s="174"/>
      <c r="I205" s="86">
        <v>511585</v>
      </c>
      <c r="J205" s="87">
        <v>20714</v>
      </c>
      <c r="K205" s="24" t="s">
        <v>32</v>
      </c>
      <c r="L205" s="21" t="s">
        <v>501</v>
      </c>
      <c r="M205" s="111" t="s">
        <v>529</v>
      </c>
      <c r="N205" s="22">
        <v>1</v>
      </c>
      <c r="O205" s="26"/>
      <c r="P205" s="27">
        <v>679.17</v>
      </c>
      <c r="Q205" s="28">
        <f>data[[#This Row],[Costo Producto
Proveedor ($/Unid)]]*data[[#This Row],[Cantidad]]</f>
        <v>0</v>
      </c>
      <c r="R205" s="28">
        <f>data[[#This Row],[Cantidad]]*data[[#This Row],[Precio de Venta Cliente ($/Unid)]]</f>
        <v>679.17</v>
      </c>
      <c r="S205" s="29"/>
      <c r="T205" s="106" t="s">
        <v>39</v>
      </c>
      <c r="U205" s="106"/>
      <c r="V205" s="30" t="s">
        <v>42</v>
      </c>
      <c r="W205" s="32" t="s">
        <v>42</v>
      </c>
      <c r="X205" s="106" t="s">
        <v>23</v>
      </c>
      <c r="Y205" s="106" t="s">
        <v>23</v>
      </c>
      <c r="Z205" s="22" t="s">
        <v>504</v>
      </c>
      <c r="AA205" s="106"/>
    </row>
    <row r="206" spans="2:27" x14ac:dyDescent="0.25">
      <c r="B206" s="174"/>
      <c r="C206" s="174" t="str">
        <f>TEXT(data[[#This Row],[Fecha de Envío
Cotización]],"MMMM")</f>
        <v>marzo</v>
      </c>
      <c r="D206" s="174">
        <v>44270</v>
      </c>
      <c r="E206" s="174" t="str">
        <f>IF(data[[#This Row],[Estatus de 
Cotización]]="PERDIDO","N/A","")</f>
        <v>N/A</v>
      </c>
      <c r="F206" s="174"/>
      <c r="G206" s="109"/>
      <c r="H206" s="174"/>
      <c r="I206" s="86">
        <v>511586</v>
      </c>
      <c r="J206" s="87">
        <v>20714</v>
      </c>
      <c r="K206" s="24" t="s">
        <v>32</v>
      </c>
      <c r="L206" s="21" t="s">
        <v>501</v>
      </c>
      <c r="M206" s="111" t="s">
        <v>531</v>
      </c>
      <c r="N206" s="106">
        <v>1</v>
      </c>
      <c r="O206" s="107"/>
      <c r="P206" s="27">
        <v>62.92</v>
      </c>
      <c r="Q206" s="28">
        <f>data[[#This Row],[Costo Producto
Proveedor ($/Unid)]]*data[[#This Row],[Cantidad]]</f>
        <v>0</v>
      </c>
      <c r="R206" s="28">
        <f>data[[#This Row],[Cantidad]]*data[[#This Row],[Precio de Venta Cliente ($/Unid)]]</f>
        <v>62.92</v>
      </c>
      <c r="S206" s="29"/>
      <c r="T206" s="106" t="s">
        <v>39</v>
      </c>
      <c r="U206" s="106"/>
      <c r="V206" s="30" t="s">
        <v>42</v>
      </c>
      <c r="W206" s="32" t="s">
        <v>42</v>
      </c>
      <c r="X206" s="106" t="s">
        <v>23</v>
      </c>
      <c r="Y206" s="106" t="s">
        <v>23</v>
      </c>
      <c r="Z206" s="106" t="s">
        <v>504</v>
      </c>
      <c r="AA206" s="106"/>
    </row>
    <row r="207" spans="2:27" x14ac:dyDescent="0.25">
      <c r="B207" s="174"/>
      <c r="C207" s="174" t="str">
        <f>TEXT(data[[#This Row],[Fecha de Envío
Cotización]],"MMMM")</f>
        <v>marzo</v>
      </c>
      <c r="D207" s="23">
        <v>44270</v>
      </c>
      <c r="E207" s="174" t="str">
        <f>IF(data[[#This Row],[Estatus de 
Cotización]]="PERDIDO","N/A","")</f>
        <v>N/A</v>
      </c>
      <c r="F207" s="174"/>
      <c r="G207" s="109"/>
      <c r="H207" s="174"/>
      <c r="I207" s="86">
        <v>511587</v>
      </c>
      <c r="J207" s="87">
        <v>20714</v>
      </c>
      <c r="K207" s="24" t="s">
        <v>32</v>
      </c>
      <c r="L207" s="21" t="s">
        <v>501</v>
      </c>
      <c r="M207" s="111" t="s">
        <v>532</v>
      </c>
      <c r="N207" s="22">
        <v>1</v>
      </c>
      <c r="O207" s="26"/>
      <c r="P207" s="27">
        <v>185.02</v>
      </c>
      <c r="Q207" s="28">
        <f>data[[#This Row],[Costo Producto
Proveedor ($/Unid)]]*data[[#This Row],[Cantidad]]</f>
        <v>0</v>
      </c>
      <c r="R207" s="28">
        <f>data[[#This Row],[Cantidad]]*data[[#This Row],[Precio de Venta Cliente ($/Unid)]]</f>
        <v>185.02</v>
      </c>
      <c r="S207" s="29"/>
      <c r="T207" s="106" t="s">
        <v>39</v>
      </c>
      <c r="U207" s="106"/>
      <c r="V207" s="30" t="s">
        <v>42</v>
      </c>
      <c r="W207" s="32" t="s">
        <v>42</v>
      </c>
      <c r="X207" s="106" t="s">
        <v>23</v>
      </c>
      <c r="Y207" s="106" t="s">
        <v>23</v>
      </c>
      <c r="Z207" s="22" t="s">
        <v>504</v>
      </c>
      <c r="AA207" s="106"/>
    </row>
    <row r="208" spans="2:27" x14ac:dyDescent="0.25">
      <c r="B208" s="174"/>
      <c r="C208" s="174" t="str">
        <f>TEXT(data[[#This Row],[Fecha de Envío
Cotización]],"MMMM")</f>
        <v>marzo</v>
      </c>
      <c r="D208" s="174">
        <v>44278</v>
      </c>
      <c r="E208" s="174" t="s">
        <v>473</v>
      </c>
      <c r="F208" s="174" t="s">
        <v>473</v>
      </c>
      <c r="G208" s="109"/>
      <c r="H208" s="174" t="s">
        <v>473</v>
      </c>
      <c r="I208" s="86">
        <v>511647</v>
      </c>
      <c r="J208" s="87" t="s">
        <v>533</v>
      </c>
      <c r="K208" s="24" t="s">
        <v>534</v>
      </c>
      <c r="L208" s="106"/>
      <c r="M208" s="108" t="s">
        <v>535</v>
      </c>
      <c r="N208" s="22">
        <v>2</v>
      </c>
      <c r="O208" s="26"/>
      <c r="P208" s="27">
        <v>12.28</v>
      </c>
      <c r="Q208" s="28">
        <f>data[[#This Row],[Costo Producto
Proveedor ($/Unid)]]*data[[#This Row],[Cantidad]]</f>
        <v>0</v>
      </c>
      <c r="R208" s="28">
        <f>data[[#This Row],[Cantidad]]*data[[#This Row],[Precio de Venta Cliente ($/Unid)]]</f>
        <v>24.56</v>
      </c>
      <c r="S208" s="29"/>
      <c r="T208" s="106" t="s">
        <v>22</v>
      </c>
      <c r="U208" s="106"/>
      <c r="V208" s="30" t="s">
        <v>473</v>
      </c>
      <c r="W208" s="32" t="s">
        <v>473</v>
      </c>
      <c r="X208" s="39" t="s">
        <v>473</v>
      </c>
      <c r="Y208" s="39" t="s">
        <v>473</v>
      </c>
      <c r="Z208" s="22" t="s">
        <v>504</v>
      </c>
      <c r="AA208" s="106" t="s">
        <v>536</v>
      </c>
    </row>
    <row r="209" spans="2:27" x14ac:dyDescent="0.25">
      <c r="B209" s="174"/>
      <c r="C209" s="174" t="str">
        <f>TEXT(data[[#This Row],[Fecha de Envío
Cotización]],"MMMM")</f>
        <v>marzo</v>
      </c>
      <c r="D209" s="174">
        <v>44278</v>
      </c>
      <c r="E209" s="174" t="s">
        <v>473</v>
      </c>
      <c r="F209" s="174" t="s">
        <v>473</v>
      </c>
      <c r="G209" s="109"/>
      <c r="H209" s="174" t="s">
        <v>473</v>
      </c>
      <c r="I209" s="86">
        <v>511648</v>
      </c>
      <c r="J209" s="87" t="s">
        <v>533</v>
      </c>
      <c r="K209" s="24" t="s">
        <v>534</v>
      </c>
      <c r="L209" s="106"/>
      <c r="M209" s="108" t="s">
        <v>537</v>
      </c>
      <c r="N209" s="106">
        <v>3</v>
      </c>
      <c r="O209" s="107"/>
      <c r="P209" s="27">
        <v>10.53</v>
      </c>
      <c r="Q209" s="28">
        <f>data[[#This Row],[Costo Producto
Proveedor ($/Unid)]]*data[[#This Row],[Cantidad]]</f>
        <v>0</v>
      </c>
      <c r="R209" s="28">
        <f>data[[#This Row],[Cantidad]]*data[[#This Row],[Precio de Venta Cliente ($/Unid)]]</f>
        <v>31.589999999999996</v>
      </c>
      <c r="S209" s="29"/>
      <c r="T209" s="106" t="s">
        <v>22</v>
      </c>
      <c r="U209" s="106"/>
      <c r="V209" s="30" t="s">
        <v>473</v>
      </c>
      <c r="W209" s="32" t="s">
        <v>473</v>
      </c>
      <c r="X209" s="106" t="s">
        <v>473</v>
      </c>
      <c r="Y209" s="106" t="s">
        <v>473</v>
      </c>
      <c r="Z209" s="106" t="s">
        <v>504</v>
      </c>
      <c r="AA209" s="106" t="s">
        <v>536</v>
      </c>
    </row>
    <row r="210" spans="2:27" x14ac:dyDescent="0.25">
      <c r="B210" s="174"/>
      <c r="C210" s="174" t="str">
        <f>TEXT(data[[#This Row],[Fecha de Envío
Cotización]],"MMMM")</f>
        <v>marzo</v>
      </c>
      <c r="D210" s="174">
        <v>44278</v>
      </c>
      <c r="E210" s="174" t="s">
        <v>473</v>
      </c>
      <c r="F210" s="174" t="s">
        <v>473</v>
      </c>
      <c r="G210" s="109"/>
      <c r="H210" s="174" t="s">
        <v>473</v>
      </c>
      <c r="I210" s="86">
        <v>511649</v>
      </c>
      <c r="J210" s="87" t="s">
        <v>533</v>
      </c>
      <c r="K210" s="24" t="s">
        <v>534</v>
      </c>
      <c r="L210" s="106"/>
      <c r="M210" s="108" t="s">
        <v>538</v>
      </c>
      <c r="N210" s="106">
        <v>1</v>
      </c>
      <c r="O210" s="107"/>
      <c r="P210" s="27">
        <v>50</v>
      </c>
      <c r="Q210" s="28">
        <f>data[[#This Row],[Costo Producto
Proveedor ($/Unid)]]*data[[#This Row],[Cantidad]]</f>
        <v>0</v>
      </c>
      <c r="R210" s="28">
        <f>data[[#This Row],[Cantidad]]*data[[#This Row],[Precio de Venta Cliente ($/Unid)]]</f>
        <v>50</v>
      </c>
      <c r="S210" s="29"/>
      <c r="T210" s="106" t="s">
        <v>22</v>
      </c>
      <c r="U210" s="106"/>
      <c r="V210" s="30" t="s">
        <v>473</v>
      </c>
      <c r="W210" s="32" t="s">
        <v>473</v>
      </c>
      <c r="X210" s="106" t="s">
        <v>473</v>
      </c>
      <c r="Y210" s="106" t="s">
        <v>473</v>
      </c>
      <c r="Z210" s="106" t="s">
        <v>504</v>
      </c>
      <c r="AA210" s="106" t="s">
        <v>536</v>
      </c>
    </row>
    <row r="211" spans="2:27" x14ac:dyDescent="0.25">
      <c r="B211" s="174"/>
      <c r="C211" s="174" t="str">
        <f>TEXT(data[[#This Row],[Fecha de Envío
Cotización]],"MMMM")</f>
        <v>marzo</v>
      </c>
      <c r="D211" s="174">
        <v>44278</v>
      </c>
      <c r="E211" s="174" t="s">
        <v>473</v>
      </c>
      <c r="F211" s="174" t="s">
        <v>473</v>
      </c>
      <c r="G211" s="109"/>
      <c r="H211" s="174" t="s">
        <v>473</v>
      </c>
      <c r="I211" s="86">
        <v>511650</v>
      </c>
      <c r="J211" s="87" t="s">
        <v>533</v>
      </c>
      <c r="K211" s="24" t="s">
        <v>534</v>
      </c>
      <c r="L211" s="106"/>
      <c r="M211" s="108" t="s">
        <v>539</v>
      </c>
      <c r="N211" s="106">
        <v>1</v>
      </c>
      <c r="O211" s="107"/>
      <c r="P211" s="27">
        <v>111.45</v>
      </c>
      <c r="Q211" s="28">
        <f>data[[#This Row],[Costo Producto
Proveedor ($/Unid)]]*data[[#This Row],[Cantidad]]</f>
        <v>0</v>
      </c>
      <c r="R211" s="28">
        <f>data[[#This Row],[Cantidad]]*data[[#This Row],[Precio de Venta Cliente ($/Unid)]]</f>
        <v>111.45</v>
      </c>
      <c r="S211" s="29"/>
      <c r="T211" s="106" t="s">
        <v>22</v>
      </c>
      <c r="U211" s="106"/>
      <c r="V211" s="30" t="s">
        <v>473</v>
      </c>
      <c r="W211" s="32" t="s">
        <v>473</v>
      </c>
      <c r="X211" s="106" t="s">
        <v>473</v>
      </c>
      <c r="Y211" s="106" t="s">
        <v>473</v>
      </c>
      <c r="Z211" s="106" t="s">
        <v>504</v>
      </c>
      <c r="AA211" s="106" t="s">
        <v>536</v>
      </c>
    </row>
    <row r="212" spans="2:27" x14ac:dyDescent="0.25">
      <c r="B212" s="174"/>
      <c r="C212" s="174" t="str">
        <f>TEXT(data[[#This Row],[Fecha de Envío
Cotización]],"MMMM")</f>
        <v>marzo</v>
      </c>
      <c r="D212" s="174">
        <v>44278</v>
      </c>
      <c r="E212" s="174" t="s">
        <v>473</v>
      </c>
      <c r="F212" s="174" t="s">
        <v>473</v>
      </c>
      <c r="G212" s="109"/>
      <c r="H212" s="174" t="s">
        <v>473</v>
      </c>
      <c r="I212" s="86">
        <v>511651</v>
      </c>
      <c r="J212" s="87" t="s">
        <v>533</v>
      </c>
      <c r="K212" s="24" t="s">
        <v>534</v>
      </c>
      <c r="L212" s="106"/>
      <c r="M212" s="108" t="s">
        <v>540</v>
      </c>
      <c r="N212" s="106">
        <v>1</v>
      </c>
      <c r="O212" s="107"/>
      <c r="P212" s="27">
        <v>93.9</v>
      </c>
      <c r="Q212" s="28">
        <f>data[[#This Row],[Costo Producto
Proveedor ($/Unid)]]*data[[#This Row],[Cantidad]]</f>
        <v>0</v>
      </c>
      <c r="R212" s="28">
        <f>data[[#This Row],[Cantidad]]*data[[#This Row],[Precio de Venta Cliente ($/Unid)]]</f>
        <v>93.9</v>
      </c>
      <c r="S212" s="29"/>
      <c r="T212" s="106" t="s">
        <v>22</v>
      </c>
      <c r="U212" s="106"/>
      <c r="V212" s="30" t="s">
        <v>473</v>
      </c>
      <c r="W212" s="32" t="s">
        <v>473</v>
      </c>
      <c r="X212" s="106" t="s">
        <v>473</v>
      </c>
      <c r="Y212" s="106" t="s">
        <v>473</v>
      </c>
      <c r="Z212" s="106" t="s">
        <v>504</v>
      </c>
      <c r="AA212" s="106" t="s">
        <v>536</v>
      </c>
    </row>
    <row r="213" spans="2:27" x14ac:dyDescent="0.25">
      <c r="B213" s="174"/>
      <c r="C213" s="174" t="str">
        <f>TEXT(data[[#This Row],[Fecha de Envío
Cotización]],"MMMM")</f>
        <v>marzo</v>
      </c>
      <c r="D213" s="174">
        <v>44278</v>
      </c>
      <c r="E213" s="174" t="s">
        <v>473</v>
      </c>
      <c r="F213" s="174" t="s">
        <v>473</v>
      </c>
      <c r="G213" s="109"/>
      <c r="H213" s="174" t="s">
        <v>473</v>
      </c>
      <c r="I213" s="86">
        <v>511652</v>
      </c>
      <c r="J213" s="87" t="s">
        <v>533</v>
      </c>
      <c r="K213" s="24" t="s">
        <v>534</v>
      </c>
      <c r="L213" s="106"/>
      <c r="M213" s="108" t="s">
        <v>541</v>
      </c>
      <c r="N213" s="106">
        <v>3</v>
      </c>
      <c r="O213" s="107"/>
      <c r="P213" s="27">
        <v>12.28</v>
      </c>
      <c r="Q213" s="28">
        <f>data[[#This Row],[Costo Producto
Proveedor ($/Unid)]]*data[[#This Row],[Cantidad]]</f>
        <v>0</v>
      </c>
      <c r="R213" s="28">
        <f>data[[#This Row],[Cantidad]]*data[[#This Row],[Precio de Venta Cliente ($/Unid)]]</f>
        <v>36.839999999999996</v>
      </c>
      <c r="S213" s="29"/>
      <c r="T213" s="106" t="s">
        <v>22</v>
      </c>
      <c r="U213" s="106"/>
      <c r="V213" s="30" t="s">
        <v>473</v>
      </c>
      <c r="W213" s="32" t="s">
        <v>473</v>
      </c>
      <c r="X213" s="106" t="s">
        <v>473</v>
      </c>
      <c r="Y213" s="106" t="s">
        <v>473</v>
      </c>
      <c r="Z213" s="106" t="s">
        <v>504</v>
      </c>
      <c r="AA213" s="106" t="s">
        <v>536</v>
      </c>
    </row>
    <row r="214" spans="2:27" x14ac:dyDescent="0.25">
      <c r="B214" s="174"/>
      <c r="C214" s="174" t="str">
        <f>TEXT(data[[#This Row],[Fecha de Envío
Cotización]],"MMMM")</f>
        <v>marzo</v>
      </c>
      <c r="D214" s="174">
        <v>44278</v>
      </c>
      <c r="E214" s="174" t="s">
        <v>473</v>
      </c>
      <c r="F214" s="174" t="s">
        <v>473</v>
      </c>
      <c r="G214" s="109"/>
      <c r="H214" s="174" t="s">
        <v>473</v>
      </c>
      <c r="I214" s="86">
        <v>511653</v>
      </c>
      <c r="J214" s="87" t="s">
        <v>533</v>
      </c>
      <c r="K214" s="24" t="s">
        <v>534</v>
      </c>
      <c r="L214" s="106"/>
      <c r="M214" s="108" t="s">
        <v>542</v>
      </c>
      <c r="N214" s="106">
        <v>1</v>
      </c>
      <c r="O214" s="107"/>
      <c r="P214" s="27">
        <v>47.56</v>
      </c>
      <c r="Q214" s="28">
        <f>data[[#This Row],[Costo Producto
Proveedor ($/Unid)]]*data[[#This Row],[Cantidad]]</f>
        <v>0</v>
      </c>
      <c r="R214" s="28">
        <f>data[[#This Row],[Cantidad]]*data[[#This Row],[Precio de Venta Cliente ($/Unid)]]</f>
        <v>47.56</v>
      </c>
      <c r="S214" s="29"/>
      <c r="T214" s="106" t="s">
        <v>22</v>
      </c>
      <c r="U214" s="106"/>
      <c r="V214" s="30" t="s">
        <v>473</v>
      </c>
      <c r="W214" s="32" t="s">
        <v>473</v>
      </c>
      <c r="X214" s="106" t="s">
        <v>473</v>
      </c>
      <c r="Y214" s="106" t="s">
        <v>473</v>
      </c>
      <c r="Z214" s="106" t="s">
        <v>504</v>
      </c>
      <c r="AA214" s="106" t="s">
        <v>536</v>
      </c>
    </row>
    <row r="215" spans="2:27" x14ac:dyDescent="0.25">
      <c r="B215" s="174"/>
      <c r="C215" s="174" t="str">
        <f>TEXT(data[[#This Row],[Fecha de Envío
Cotización]],"MMMM")</f>
        <v>marzo</v>
      </c>
      <c r="D215" s="174">
        <v>44278</v>
      </c>
      <c r="E215" s="23" t="s">
        <v>473</v>
      </c>
      <c r="F215" s="174" t="s">
        <v>473</v>
      </c>
      <c r="G215" s="109"/>
      <c r="H215" s="174" t="s">
        <v>473</v>
      </c>
      <c r="I215" s="86">
        <v>511654</v>
      </c>
      <c r="J215" s="87" t="s">
        <v>533</v>
      </c>
      <c r="K215" s="24" t="s">
        <v>534</v>
      </c>
      <c r="L215" s="106"/>
      <c r="M215" s="108" t="s">
        <v>543</v>
      </c>
      <c r="N215" s="106">
        <v>1</v>
      </c>
      <c r="O215" s="107"/>
      <c r="P215" s="27">
        <v>12.46</v>
      </c>
      <c r="Q215" s="28">
        <f>data[[#This Row],[Costo Producto
Proveedor ($/Unid)]]*data[[#This Row],[Cantidad]]</f>
        <v>0</v>
      </c>
      <c r="R215" s="28">
        <f>data[[#This Row],[Cantidad]]*data[[#This Row],[Precio de Venta Cliente ($/Unid)]]</f>
        <v>12.46</v>
      </c>
      <c r="S215" s="29"/>
      <c r="T215" s="106" t="s">
        <v>22</v>
      </c>
      <c r="U215" s="106"/>
      <c r="V215" s="30" t="s">
        <v>473</v>
      </c>
      <c r="W215" s="32" t="s">
        <v>473</v>
      </c>
      <c r="X215" s="106" t="s">
        <v>473</v>
      </c>
      <c r="Y215" s="106" t="s">
        <v>473</v>
      </c>
      <c r="Z215" s="106" t="s">
        <v>504</v>
      </c>
      <c r="AA215" s="106" t="s">
        <v>536</v>
      </c>
    </row>
    <row r="216" spans="2:27" x14ac:dyDescent="0.25">
      <c r="B216" s="174"/>
      <c r="C216" s="174" t="str">
        <f>TEXT(data[[#This Row],[Fecha de Envío
Cotización]],"MMMM")</f>
        <v>marzo</v>
      </c>
      <c r="D216" s="174">
        <v>44278</v>
      </c>
      <c r="E216" s="23" t="s">
        <v>473</v>
      </c>
      <c r="F216" s="174" t="s">
        <v>473</v>
      </c>
      <c r="G216" s="109"/>
      <c r="H216" s="174" t="s">
        <v>473</v>
      </c>
      <c r="I216" s="86">
        <v>511655</v>
      </c>
      <c r="J216" s="87" t="s">
        <v>533</v>
      </c>
      <c r="K216" s="24" t="s">
        <v>534</v>
      </c>
      <c r="L216" s="106"/>
      <c r="M216" s="108" t="s">
        <v>544</v>
      </c>
      <c r="N216" s="106">
        <v>1</v>
      </c>
      <c r="O216" s="107"/>
      <c r="P216" s="27">
        <v>108.94</v>
      </c>
      <c r="Q216" s="28">
        <f>data[[#This Row],[Costo Producto
Proveedor ($/Unid)]]*data[[#This Row],[Cantidad]]</f>
        <v>0</v>
      </c>
      <c r="R216" s="28">
        <f>data[[#This Row],[Cantidad]]*data[[#This Row],[Precio de Venta Cliente ($/Unid)]]</f>
        <v>108.94</v>
      </c>
      <c r="S216" s="29"/>
      <c r="T216" s="106" t="s">
        <v>22</v>
      </c>
      <c r="U216" s="106"/>
      <c r="V216" s="30" t="s">
        <v>473</v>
      </c>
      <c r="W216" s="32" t="s">
        <v>473</v>
      </c>
      <c r="X216" s="106" t="s">
        <v>473</v>
      </c>
      <c r="Y216" s="106" t="s">
        <v>473</v>
      </c>
      <c r="Z216" s="106" t="s">
        <v>504</v>
      </c>
      <c r="AA216" s="106" t="s">
        <v>536</v>
      </c>
    </row>
    <row r="217" spans="2:27" x14ac:dyDescent="0.25">
      <c r="B217" s="174"/>
      <c r="C217" s="174" t="str">
        <f>TEXT(data[[#This Row],[Fecha de Envío
Cotización]],"MMMM")</f>
        <v>marzo</v>
      </c>
      <c r="D217" s="174">
        <v>44278</v>
      </c>
      <c r="E217" s="23" t="s">
        <v>473</v>
      </c>
      <c r="F217" s="174" t="s">
        <v>473</v>
      </c>
      <c r="G217" s="109"/>
      <c r="H217" s="174" t="s">
        <v>473</v>
      </c>
      <c r="I217" s="86">
        <v>511656</v>
      </c>
      <c r="J217" s="87" t="s">
        <v>533</v>
      </c>
      <c r="K217" s="24" t="s">
        <v>534</v>
      </c>
      <c r="L217" s="106"/>
      <c r="M217" s="108" t="s">
        <v>545</v>
      </c>
      <c r="N217" s="106">
        <v>10</v>
      </c>
      <c r="O217" s="107"/>
      <c r="P217" s="27">
        <v>11.05</v>
      </c>
      <c r="Q217" s="28">
        <f>data[[#This Row],[Costo Producto
Proveedor ($/Unid)]]*data[[#This Row],[Cantidad]]</f>
        <v>0</v>
      </c>
      <c r="R217" s="28">
        <f>data[[#This Row],[Cantidad]]*data[[#This Row],[Precio de Venta Cliente ($/Unid)]]</f>
        <v>110.5</v>
      </c>
      <c r="S217" s="29"/>
      <c r="T217" s="106" t="s">
        <v>22</v>
      </c>
      <c r="U217" s="106"/>
      <c r="V217" s="30" t="s">
        <v>473</v>
      </c>
      <c r="W217" s="32" t="s">
        <v>473</v>
      </c>
      <c r="X217" s="106" t="s">
        <v>473</v>
      </c>
      <c r="Y217" s="106" t="s">
        <v>473</v>
      </c>
      <c r="Z217" s="106" t="s">
        <v>504</v>
      </c>
      <c r="AA217" s="106" t="s">
        <v>536</v>
      </c>
    </row>
    <row r="218" spans="2:27" x14ac:dyDescent="0.25">
      <c r="B218" s="174"/>
      <c r="C218" s="174" t="str">
        <f>TEXT(data[[#This Row],[Fecha de Envío
Cotización]],"MMMM")</f>
        <v>marzo</v>
      </c>
      <c r="D218" s="174">
        <v>44278</v>
      </c>
      <c r="E218" s="23" t="s">
        <v>473</v>
      </c>
      <c r="F218" s="174" t="s">
        <v>473</v>
      </c>
      <c r="G218" s="109"/>
      <c r="H218" s="174" t="s">
        <v>473</v>
      </c>
      <c r="I218" s="86">
        <v>511657</v>
      </c>
      <c r="J218" s="87" t="s">
        <v>533</v>
      </c>
      <c r="K218" s="24" t="s">
        <v>534</v>
      </c>
      <c r="L218" s="106"/>
      <c r="M218" s="108" t="s">
        <v>546</v>
      </c>
      <c r="N218" s="106">
        <v>3</v>
      </c>
      <c r="O218" s="107"/>
      <c r="P218" s="27">
        <v>10.88</v>
      </c>
      <c r="Q218" s="28">
        <f>data[[#This Row],[Costo Producto
Proveedor ($/Unid)]]*data[[#This Row],[Cantidad]]</f>
        <v>0</v>
      </c>
      <c r="R218" s="28">
        <f>data[[#This Row],[Cantidad]]*data[[#This Row],[Precio de Venta Cliente ($/Unid)]]</f>
        <v>32.64</v>
      </c>
      <c r="S218" s="29"/>
      <c r="T218" s="106" t="s">
        <v>22</v>
      </c>
      <c r="U218" s="106"/>
      <c r="V218" s="30" t="s">
        <v>473</v>
      </c>
      <c r="W218" s="32" t="s">
        <v>473</v>
      </c>
      <c r="X218" s="106" t="s">
        <v>473</v>
      </c>
      <c r="Y218" s="106" t="s">
        <v>473</v>
      </c>
      <c r="Z218" s="106" t="s">
        <v>504</v>
      </c>
      <c r="AA218" s="106" t="s">
        <v>536</v>
      </c>
    </row>
    <row r="219" spans="2:27" x14ac:dyDescent="0.25">
      <c r="B219" s="174"/>
      <c r="C219" s="174" t="str">
        <f>TEXT(data[[#This Row],[Fecha de Envío
Cotización]],"MMMM")</f>
        <v>marzo</v>
      </c>
      <c r="D219" s="174">
        <v>44278</v>
      </c>
      <c r="E219" s="174" t="s">
        <v>473</v>
      </c>
      <c r="F219" s="174" t="s">
        <v>473</v>
      </c>
      <c r="G219" s="109"/>
      <c r="H219" s="174" t="s">
        <v>473</v>
      </c>
      <c r="I219" s="86">
        <v>511658</v>
      </c>
      <c r="J219" s="87" t="s">
        <v>533</v>
      </c>
      <c r="K219" s="24" t="s">
        <v>534</v>
      </c>
      <c r="L219" s="106"/>
      <c r="M219" s="108" t="s">
        <v>547</v>
      </c>
      <c r="N219" s="106">
        <v>3</v>
      </c>
      <c r="O219" s="107"/>
      <c r="P219" s="27">
        <v>58.8</v>
      </c>
      <c r="Q219" s="28">
        <f>data[[#This Row],[Costo Producto
Proveedor ($/Unid)]]*data[[#This Row],[Cantidad]]</f>
        <v>0</v>
      </c>
      <c r="R219" s="28">
        <f>data[[#This Row],[Cantidad]]*data[[#This Row],[Precio de Venta Cliente ($/Unid)]]</f>
        <v>176.39999999999998</v>
      </c>
      <c r="S219" s="29"/>
      <c r="T219" s="106" t="s">
        <v>22</v>
      </c>
      <c r="U219" s="106"/>
      <c r="V219" s="30" t="s">
        <v>473</v>
      </c>
      <c r="W219" s="32" t="s">
        <v>473</v>
      </c>
      <c r="X219" s="106" t="s">
        <v>473</v>
      </c>
      <c r="Y219" s="106" t="s">
        <v>473</v>
      </c>
      <c r="Z219" s="106" t="s">
        <v>504</v>
      </c>
      <c r="AA219" s="106" t="s">
        <v>536</v>
      </c>
    </row>
    <row r="220" spans="2:27" x14ac:dyDescent="0.25">
      <c r="B220" s="174"/>
      <c r="C220" s="174" t="str">
        <f>TEXT(data[[#This Row],[Fecha de Envío
Cotización]],"MMMM")</f>
        <v>marzo</v>
      </c>
      <c r="D220" s="174">
        <v>44278</v>
      </c>
      <c r="E220" s="23" t="s">
        <v>473</v>
      </c>
      <c r="F220" s="174" t="s">
        <v>473</v>
      </c>
      <c r="G220" s="109"/>
      <c r="H220" s="174" t="s">
        <v>473</v>
      </c>
      <c r="I220" s="86">
        <v>511660</v>
      </c>
      <c r="J220" s="87" t="s">
        <v>533</v>
      </c>
      <c r="K220" s="24" t="s">
        <v>534</v>
      </c>
      <c r="L220" s="106"/>
      <c r="M220" s="108" t="s">
        <v>549</v>
      </c>
      <c r="N220" s="106">
        <v>2</v>
      </c>
      <c r="O220" s="107"/>
      <c r="P220" s="27">
        <v>11.05</v>
      </c>
      <c r="Q220" s="28">
        <f>data[[#This Row],[Costo Producto
Proveedor ($/Unid)]]*data[[#This Row],[Cantidad]]</f>
        <v>0</v>
      </c>
      <c r="R220" s="28">
        <f>data[[#This Row],[Cantidad]]*data[[#This Row],[Precio de Venta Cliente ($/Unid)]]</f>
        <v>22.1</v>
      </c>
      <c r="S220" s="29"/>
      <c r="T220" s="106" t="s">
        <v>22</v>
      </c>
      <c r="U220" s="106"/>
      <c r="V220" s="30" t="s">
        <v>473</v>
      </c>
      <c r="W220" s="32" t="s">
        <v>473</v>
      </c>
      <c r="X220" s="106" t="s">
        <v>473</v>
      </c>
      <c r="Y220" s="106" t="s">
        <v>473</v>
      </c>
      <c r="Z220" s="106" t="s">
        <v>504</v>
      </c>
      <c r="AA220" s="106" t="s">
        <v>536</v>
      </c>
    </row>
    <row r="221" spans="2:27" x14ac:dyDescent="0.25">
      <c r="B221" s="174"/>
      <c r="C221" s="174" t="str">
        <f>TEXT(data[[#This Row],[Fecha de Envío
Cotización]],"MMMM")</f>
        <v>marzo</v>
      </c>
      <c r="D221" s="174">
        <v>44278</v>
      </c>
      <c r="E221" s="23" t="s">
        <v>473</v>
      </c>
      <c r="F221" s="174" t="s">
        <v>473</v>
      </c>
      <c r="G221" s="109"/>
      <c r="H221" s="174" t="s">
        <v>473</v>
      </c>
      <c r="I221" s="86">
        <v>511661</v>
      </c>
      <c r="J221" s="87" t="s">
        <v>533</v>
      </c>
      <c r="K221" s="24" t="s">
        <v>534</v>
      </c>
      <c r="L221" s="106"/>
      <c r="M221" s="108" t="s">
        <v>550</v>
      </c>
      <c r="N221" s="106">
        <v>2</v>
      </c>
      <c r="O221" s="107"/>
      <c r="P221" s="27">
        <v>23.69</v>
      </c>
      <c r="Q221" s="28">
        <f>data[[#This Row],[Costo Producto
Proveedor ($/Unid)]]*data[[#This Row],[Cantidad]]</f>
        <v>0</v>
      </c>
      <c r="R221" s="28">
        <f>data[[#This Row],[Cantidad]]*data[[#This Row],[Precio de Venta Cliente ($/Unid)]]</f>
        <v>47.38</v>
      </c>
      <c r="S221" s="29"/>
      <c r="T221" s="106" t="s">
        <v>22</v>
      </c>
      <c r="U221" s="106"/>
      <c r="V221" s="30" t="s">
        <v>473</v>
      </c>
      <c r="W221" s="32" t="s">
        <v>473</v>
      </c>
      <c r="X221" s="106" t="s">
        <v>473</v>
      </c>
      <c r="Y221" s="106" t="s">
        <v>473</v>
      </c>
      <c r="Z221" s="106" t="s">
        <v>504</v>
      </c>
      <c r="AA221" s="106" t="s">
        <v>536</v>
      </c>
    </row>
    <row r="222" spans="2:27" x14ac:dyDescent="0.25">
      <c r="B222" s="174"/>
      <c r="C222" s="174" t="str">
        <f>TEXT(data[[#This Row],[Fecha de Envío
Cotización]],"MMMM")</f>
        <v>marzo</v>
      </c>
      <c r="D222" s="174">
        <v>44278</v>
      </c>
      <c r="E222" s="104" t="s">
        <v>473</v>
      </c>
      <c r="F222" s="174" t="s">
        <v>473</v>
      </c>
      <c r="G222" s="109"/>
      <c r="H222" s="174" t="s">
        <v>473</v>
      </c>
      <c r="I222" s="86">
        <v>511662</v>
      </c>
      <c r="J222" s="87">
        <v>20716</v>
      </c>
      <c r="K222" s="24" t="s">
        <v>534</v>
      </c>
      <c r="L222" s="106"/>
      <c r="M222" s="108" t="s">
        <v>548</v>
      </c>
      <c r="N222" s="106">
        <v>12</v>
      </c>
      <c r="O222" s="107"/>
      <c r="P222" s="27">
        <v>3.81</v>
      </c>
      <c r="Q222" s="28">
        <f>data[[#This Row],[Costo Producto
Proveedor ($/Unid)]]*data[[#This Row],[Cantidad]]</f>
        <v>0</v>
      </c>
      <c r="R222" s="28">
        <f>data[[#This Row],[Cantidad]]*data[[#This Row],[Precio de Venta Cliente ($/Unid)]]</f>
        <v>45.72</v>
      </c>
      <c r="S222" s="29"/>
      <c r="T222" s="106" t="s">
        <v>22</v>
      </c>
      <c r="U222" s="106"/>
      <c r="V222" s="30" t="s">
        <v>473</v>
      </c>
      <c r="W222" s="32" t="s">
        <v>473</v>
      </c>
      <c r="X222" s="106" t="s">
        <v>473</v>
      </c>
      <c r="Y222" s="106" t="s">
        <v>473</v>
      </c>
      <c r="Z222" s="106" t="s">
        <v>504</v>
      </c>
      <c r="AA222" s="106"/>
    </row>
    <row r="223" spans="2:27" x14ac:dyDescent="0.25">
      <c r="B223" s="174"/>
      <c r="C223" s="174" t="str">
        <f>TEXT(data[[#This Row],[Fecha de Envío
Cotización]],"MMMM")</f>
        <v>marzo</v>
      </c>
      <c r="D223" s="174">
        <v>44278</v>
      </c>
      <c r="E223" s="174" t="s">
        <v>473</v>
      </c>
      <c r="F223" s="174" t="s">
        <v>473</v>
      </c>
      <c r="G223" s="109"/>
      <c r="H223" s="174" t="s">
        <v>473</v>
      </c>
      <c r="I223" s="86">
        <v>511663</v>
      </c>
      <c r="J223" s="87" t="s">
        <v>551</v>
      </c>
      <c r="K223" s="24" t="s">
        <v>534</v>
      </c>
      <c r="L223" s="106"/>
      <c r="M223" s="108" t="s">
        <v>552</v>
      </c>
      <c r="N223" s="106">
        <v>2</v>
      </c>
      <c r="O223" s="107"/>
      <c r="P223" s="27">
        <v>8.35</v>
      </c>
      <c r="Q223" s="28">
        <f>data[[#This Row],[Costo Producto
Proveedor ($/Unid)]]*data[[#This Row],[Cantidad]]</f>
        <v>0</v>
      </c>
      <c r="R223" s="28">
        <f>data[[#This Row],[Cantidad]]*data[[#This Row],[Precio de Venta Cliente ($/Unid)]]</f>
        <v>16.7</v>
      </c>
      <c r="S223" s="29"/>
      <c r="T223" s="106" t="s">
        <v>22</v>
      </c>
      <c r="U223" s="106"/>
      <c r="V223" s="30" t="s">
        <v>473</v>
      </c>
      <c r="W223" s="30" t="s">
        <v>473</v>
      </c>
      <c r="X223" s="30" t="s">
        <v>473</v>
      </c>
      <c r="Y223" s="30" t="s">
        <v>473</v>
      </c>
      <c r="Z223" s="106" t="s">
        <v>504</v>
      </c>
      <c r="AA223" s="106" t="s">
        <v>553</v>
      </c>
    </row>
    <row r="224" spans="2:27" x14ac:dyDescent="0.25">
      <c r="B224" s="174"/>
      <c r="C224" s="174" t="str">
        <f>TEXT(data[[#This Row],[Fecha de Envío
Cotización]],"MMMM")</f>
        <v>marzo</v>
      </c>
      <c r="D224" s="174">
        <v>44278</v>
      </c>
      <c r="E224" s="174" t="s">
        <v>473</v>
      </c>
      <c r="F224" s="174" t="s">
        <v>473</v>
      </c>
      <c r="G224" s="109"/>
      <c r="H224" s="174" t="s">
        <v>473</v>
      </c>
      <c r="I224" s="86">
        <v>511664</v>
      </c>
      <c r="J224" s="87" t="s">
        <v>551</v>
      </c>
      <c r="K224" s="24" t="s">
        <v>534</v>
      </c>
      <c r="L224" s="106"/>
      <c r="M224" s="108" t="s">
        <v>554</v>
      </c>
      <c r="N224" s="106">
        <v>3</v>
      </c>
      <c r="O224" s="107"/>
      <c r="P224" s="27">
        <v>11.68</v>
      </c>
      <c r="Q224" s="28">
        <f>data[[#This Row],[Costo Producto
Proveedor ($/Unid)]]*data[[#This Row],[Cantidad]]</f>
        <v>0</v>
      </c>
      <c r="R224" s="28">
        <f>data[[#This Row],[Cantidad]]*data[[#This Row],[Precio de Venta Cliente ($/Unid)]]</f>
        <v>35.04</v>
      </c>
      <c r="S224" s="29"/>
      <c r="T224" s="106" t="s">
        <v>22</v>
      </c>
      <c r="U224" s="106"/>
      <c r="V224" s="30" t="s">
        <v>473</v>
      </c>
      <c r="W224" s="30" t="s">
        <v>473</v>
      </c>
      <c r="X224" s="30" t="s">
        <v>473</v>
      </c>
      <c r="Y224" s="30" t="s">
        <v>473</v>
      </c>
      <c r="Z224" s="106" t="s">
        <v>504</v>
      </c>
      <c r="AA224" s="106" t="s">
        <v>553</v>
      </c>
    </row>
    <row r="225" spans="2:27" x14ac:dyDescent="0.25">
      <c r="B225" s="23"/>
      <c r="C225" s="174" t="str">
        <f>TEXT(data[[#This Row],[Fecha de Envío
Cotización]],"MMMM")</f>
        <v>marzo</v>
      </c>
      <c r="D225" s="174">
        <v>44278</v>
      </c>
      <c r="E225" s="174" t="s">
        <v>473</v>
      </c>
      <c r="F225" s="23" t="s">
        <v>473</v>
      </c>
      <c r="G225" s="109"/>
      <c r="H225" s="23" t="s">
        <v>473</v>
      </c>
      <c r="I225" s="86">
        <v>511665</v>
      </c>
      <c r="J225" s="87" t="s">
        <v>551</v>
      </c>
      <c r="K225" s="24" t="s">
        <v>534</v>
      </c>
      <c r="L225" s="51"/>
      <c r="M225" s="53" t="s">
        <v>555</v>
      </c>
      <c r="N225" s="22">
        <v>2</v>
      </c>
      <c r="O225" s="26"/>
      <c r="P225" s="27">
        <v>10.01</v>
      </c>
      <c r="Q225" s="28">
        <f>data[[#This Row],[Costo Producto
Proveedor ($/Unid)]]*data[[#This Row],[Cantidad]]</f>
        <v>0</v>
      </c>
      <c r="R225" s="28">
        <f>data[[#This Row],[Cantidad]]*data[[#This Row],[Precio de Venta Cliente ($/Unid)]]</f>
        <v>20.02</v>
      </c>
      <c r="S225" s="29"/>
      <c r="T225" s="106" t="s">
        <v>22</v>
      </c>
      <c r="U225" s="106"/>
      <c r="V225" s="30" t="s">
        <v>473</v>
      </c>
      <c r="W225" s="30" t="s">
        <v>473</v>
      </c>
      <c r="X225" s="30" t="s">
        <v>473</v>
      </c>
      <c r="Y225" s="30" t="s">
        <v>473</v>
      </c>
      <c r="Z225" s="22" t="s">
        <v>504</v>
      </c>
      <c r="AA225" s="106" t="s">
        <v>553</v>
      </c>
    </row>
    <row r="226" spans="2:27" x14ac:dyDescent="0.25">
      <c r="B226" s="174"/>
      <c r="C226" s="174" t="str">
        <f>TEXT(data[[#This Row],[Fecha de Envío
Cotización]],"MMMM")</f>
        <v>marzo</v>
      </c>
      <c r="D226" s="174">
        <v>44278</v>
      </c>
      <c r="E226" s="174" t="s">
        <v>473</v>
      </c>
      <c r="F226" s="174" t="s">
        <v>473</v>
      </c>
      <c r="G226" s="109"/>
      <c r="H226" s="174" t="s">
        <v>473</v>
      </c>
      <c r="I226" s="86">
        <v>511666</v>
      </c>
      <c r="J226" s="87" t="s">
        <v>551</v>
      </c>
      <c r="K226" s="24" t="s">
        <v>534</v>
      </c>
      <c r="L226" s="106"/>
      <c r="M226" s="108" t="s">
        <v>556</v>
      </c>
      <c r="N226" s="106">
        <v>2</v>
      </c>
      <c r="O226" s="107"/>
      <c r="P226" s="27">
        <v>8.35</v>
      </c>
      <c r="Q226" s="28">
        <f>data[[#This Row],[Costo Producto
Proveedor ($/Unid)]]*data[[#This Row],[Cantidad]]</f>
        <v>0</v>
      </c>
      <c r="R226" s="28">
        <f>data[[#This Row],[Cantidad]]*data[[#This Row],[Precio de Venta Cliente ($/Unid)]]</f>
        <v>16.7</v>
      </c>
      <c r="S226" s="29"/>
      <c r="T226" s="106" t="s">
        <v>22</v>
      </c>
      <c r="U226" s="106"/>
      <c r="V226" s="30" t="s">
        <v>473</v>
      </c>
      <c r="W226" s="30" t="s">
        <v>473</v>
      </c>
      <c r="X226" s="30" t="s">
        <v>473</v>
      </c>
      <c r="Y226" s="30" t="s">
        <v>473</v>
      </c>
      <c r="Z226" s="106" t="s">
        <v>504</v>
      </c>
      <c r="AA226" s="106" t="s">
        <v>553</v>
      </c>
    </row>
    <row r="227" spans="2:27" x14ac:dyDescent="0.25">
      <c r="B227" s="174"/>
      <c r="C227" s="174" t="str">
        <f>TEXT(data[[#This Row],[Fecha de Envío
Cotización]],"MMMM")</f>
        <v>marzo</v>
      </c>
      <c r="D227" s="174">
        <v>44278</v>
      </c>
      <c r="E227" s="174" t="s">
        <v>473</v>
      </c>
      <c r="F227" s="174" t="s">
        <v>473</v>
      </c>
      <c r="G227" s="109"/>
      <c r="H227" s="174" t="s">
        <v>473</v>
      </c>
      <c r="I227" s="86">
        <v>511667</v>
      </c>
      <c r="J227" s="87" t="s">
        <v>551</v>
      </c>
      <c r="K227" s="24" t="s">
        <v>534</v>
      </c>
      <c r="L227" s="106"/>
      <c r="M227" s="108" t="s">
        <v>557</v>
      </c>
      <c r="N227" s="106">
        <v>1</v>
      </c>
      <c r="O227" s="107"/>
      <c r="P227" s="27">
        <v>41.74</v>
      </c>
      <c r="Q227" s="28">
        <f>data[[#This Row],[Costo Producto
Proveedor ($/Unid)]]*data[[#This Row],[Cantidad]]</f>
        <v>0</v>
      </c>
      <c r="R227" s="28">
        <f>data[[#This Row],[Cantidad]]*data[[#This Row],[Precio de Venta Cliente ($/Unid)]]</f>
        <v>41.74</v>
      </c>
      <c r="S227" s="29"/>
      <c r="T227" s="106" t="s">
        <v>22</v>
      </c>
      <c r="U227" s="106"/>
      <c r="V227" s="30" t="s">
        <v>473</v>
      </c>
      <c r="W227" s="30" t="s">
        <v>473</v>
      </c>
      <c r="X227" s="30" t="s">
        <v>473</v>
      </c>
      <c r="Y227" s="30" t="s">
        <v>473</v>
      </c>
      <c r="Z227" s="106" t="s">
        <v>504</v>
      </c>
      <c r="AA227" s="106" t="s">
        <v>553</v>
      </c>
    </row>
    <row r="228" spans="2:27" x14ac:dyDescent="0.25">
      <c r="B228" s="174"/>
      <c r="C228" s="174" t="str">
        <f>TEXT(data[[#This Row],[Fecha de Envío
Cotización]],"MMMM")</f>
        <v>marzo</v>
      </c>
      <c r="D228" s="174">
        <v>44278</v>
      </c>
      <c r="E228" s="174" t="s">
        <v>473</v>
      </c>
      <c r="F228" s="174" t="s">
        <v>473</v>
      </c>
      <c r="G228" s="109"/>
      <c r="H228" s="174" t="s">
        <v>473</v>
      </c>
      <c r="I228" s="86">
        <v>511668</v>
      </c>
      <c r="J228" s="87" t="s">
        <v>551</v>
      </c>
      <c r="K228" s="24" t="s">
        <v>534</v>
      </c>
      <c r="L228" s="106"/>
      <c r="M228" s="108" t="s">
        <v>558</v>
      </c>
      <c r="N228" s="106">
        <v>1</v>
      </c>
      <c r="O228" s="107"/>
      <c r="P228" s="27">
        <v>41.74</v>
      </c>
      <c r="Q228" s="28">
        <f>data[[#This Row],[Costo Producto
Proveedor ($/Unid)]]*data[[#This Row],[Cantidad]]</f>
        <v>0</v>
      </c>
      <c r="R228" s="28">
        <f>data[[#This Row],[Cantidad]]*data[[#This Row],[Precio de Venta Cliente ($/Unid)]]</f>
        <v>41.74</v>
      </c>
      <c r="S228" s="29"/>
      <c r="T228" s="106" t="s">
        <v>22</v>
      </c>
      <c r="U228" s="106"/>
      <c r="V228" s="30" t="s">
        <v>473</v>
      </c>
      <c r="W228" s="30" t="s">
        <v>473</v>
      </c>
      <c r="X228" s="30" t="s">
        <v>473</v>
      </c>
      <c r="Y228" s="30" t="s">
        <v>473</v>
      </c>
      <c r="Z228" s="106" t="s">
        <v>504</v>
      </c>
      <c r="AA228" s="106" t="s">
        <v>553</v>
      </c>
    </row>
    <row r="229" spans="2:27" x14ac:dyDescent="0.25">
      <c r="B229" s="174"/>
      <c r="C229" s="174" t="str">
        <f>TEXT(data[[#This Row],[Fecha de Envío
Cotización]],"MMMM")</f>
        <v>marzo</v>
      </c>
      <c r="D229" s="174">
        <v>44278</v>
      </c>
      <c r="E229" s="174" t="s">
        <v>473</v>
      </c>
      <c r="F229" s="174" t="s">
        <v>473</v>
      </c>
      <c r="G229" s="109"/>
      <c r="H229" s="174" t="s">
        <v>473</v>
      </c>
      <c r="I229" s="86">
        <v>511669</v>
      </c>
      <c r="J229" s="87" t="s">
        <v>551</v>
      </c>
      <c r="K229" s="24" t="s">
        <v>534</v>
      </c>
      <c r="L229" s="106"/>
      <c r="M229" s="108" t="s">
        <v>559</v>
      </c>
      <c r="N229" s="106">
        <v>2</v>
      </c>
      <c r="O229" s="107"/>
      <c r="P229" s="27">
        <v>75.13</v>
      </c>
      <c r="Q229" s="28">
        <f>data[[#This Row],[Costo Producto
Proveedor ($/Unid)]]*data[[#This Row],[Cantidad]]</f>
        <v>0</v>
      </c>
      <c r="R229" s="28">
        <f>data[[#This Row],[Cantidad]]*data[[#This Row],[Precio de Venta Cliente ($/Unid)]]</f>
        <v>150.26</v>
      </c>
      <c r="S229" s="29"/>
      <c r="T229" s="106" t="s">
        <v>22</v>
      </c>
      <c r="U229" s="106"/>
      <c r="V229" s="30" t="s">
        <v>473</v>
      </c>
      <c r="W229" s="30" t="s">
        <v>473</v>
      </c>
      <c r="X229" s="30" t="s">
        <v>473</v>
      </c>
      <c r="Y229" s="30" t="s">
        <v>473</v>
      </c>
      <c r="Z229" s="106" t="s">
        <v>504</v>
      </c>
      <c r="AA229" s="106" t="s">
        <v>553</v>
      </c>
    </row>
    <row r="230" spans="2:27" x14ac:dyDescent="0.25">
      <c r="B230" s="174"/>
      <c r="C230" s="174" t="str">
        <f>TEXT(data[[#This Row],[Fecha de Envío
Cotización]],"MMMM")</f>
        <v>marzo</v>
      </c>
      <c r="D230" s="174">
        <v>44278</v>
      </c>
      <c r="E230" s="174" t="s">
        <v>473</v>
      </c>
      <c r="F230" s="174" t="s">
        <v>473</v>
      </c>
      <c r="G230" s="109"/>
      <c r="H230" s="174" t="s">
        <v>473</v>
      </c>
      <c r="I230" s="86">
        <v>511670</v>
      </c>
      <c r="J230" s="87" t="s">
        <v>551</v>
      </c>
      <c r="K230" s="24" t="s">
        <v>534</v>
      </c>
      <c r="L230" s="106"/>
      <c r="M230" s="108" t="s">
        <v>560</v>
      </c>
      <c r="N230" s="106">
        <v>2</v>
      </c>
      <c r="O230" s="107"/>
      <c r="P230" s="27">
        <v>5</v>
      </c>
      <c r="Q230" s="28">
        <f>data[[#This Row],[Costo Producto
Proveedor ($/Unid)]]*data[[#This Row],[Cantidad]]</f>
        <v>0</v>
      </c>
      <c r="R230" s="28">
        <f>data[[#This Row],[Cantidad]]*data[[#This Row],[Precio de Venta Cliente ($/Unid)]]</f>
        <v>10</v>
      </c>
      <c r="S230" s="29"/>
      <c r="T230" s="106" t="s">
        <v>22</v>
      </c>
      <c r="U230" s="106"/>
      <c r="V230" s="30" t="s">
        <v>473</v>
      </c>
      <c r="W230" s="30" t="s">
        <v>473</v>
      </c>
      <c r="X230" s="30" t="s">
        <v>473</v>
      </c>
      <c r="Y230" s="30" t="s">
        <v>473</v>
      </c>
      <c r="Z230" s="106" t="s">
        <v>504</v>
      </c>
      <c r="AA230" s="106" t="s">
        <v>553</v>
      </c>
    </row>
    <row r="231" spans="2:27" x14ac:dyDescent="0.25">
      <c r="B231" s="174"/>
      <c r="C231" s="174" t="str">
        <f>TEXT(data[[#This Row],[Fecha de Envío
Cotización]],"MMMM")</f>
        <v>marzo</v>
      </c>
      <c r="D231" s="174">
        <v>44278</v>
      </c>
      <c r="E231" s="174" t="s">
        <v>473</v>
      </c>
      <c r="F231" s="174" t="s">
        <v>473</v>
      </c>
      <c r="G231" s="109"/>
      <c r="H231" s="174" t="s">
        <v>473</v>
      </c>
      <c r="I231" s="86">
        <v>511671</v>
      </c>
      <c r="J231" s="87" t="s">
        <v>551</v>
      </c>
      <c r="K231" s="24" t="s">
        <v>534</v>
      </c>
      <c r="L231" s="106"/>
      <c r="M231" s="108" t="s">
        <v>561</v>
      </c>
      <c r="N231" s="106">
        <v>2</v>
      </c>
      <c r="O231" s="107"/>
      <c r="P231" s="27">
        <v>11.68</v>
      </c>
      <c r="Q231" s="28">
        <f>data[[#This Row],[Costo Producto
Proveedor ($/Unid)]]*data[[#This Row],[Cantidad]]</f>
        <v>0</v>
      </c>
      <c r="R231" s="28">
        <f>data[[#This Row],[Cantidad]]*data[[#This Row],[Precio de Venta Cliente ($/Unid)]]</f>
        <v>23.36</v>
      </c>
      <c r="S231" s="29"/>
      <c r="T231" s="106" t="s">
        <v>22</v>
      </c>
      <c r="U231" s="106"/>
      <c r="V231" s="30" t="s">
        <v>473</v>
      </c>
      <c r="W231" s="30" t="s">
        <v>473</v>
      </c>
      <c r="X231" s="30" t="s">
        <v>473</v>
      </c>
      <c r="Y231" s="30" t="s">
        <v>473</v>
      </c>
      <c r="Z231" s="106" t="s">
        <v>504</v>
      </c>
      <c r="AA231" s="106" t="s">
        <v>553</v>
      </c>
    </row>
    <row r="232" spans="2:27" x14ac:dyDescent="0.25">
      <c r="B232" s="174"/>
      <c r="C232" s="174" t="str">
        <f>TEXT(data[[#This Row],[Fecha de Envío
Cotización]],"MMMM")</f>
        <v>marzo</v>
      </c>
      <c r="D232" s="174">
        <v>44278</v>
      </c>
      <c r="E232" s="174" t="s">
        <v>473</v>
      </c>
      <c r="F232" s="174" t="s">
        <v>473</v>
      </c>
      <c r="G232" s="109"/>
      <c r="H232" s="174" t="s">
        <v>473</v>
      </c>
      <c r="I232" s="86">
        <v>511672</v>
      </c>
      <c r="J232" s="87" t="s">
        <v>551</v>
      </c>
      <c r="K232" s="24" t="s">
        <v>534</v>
      </c>
      <c r="L232" s="106"/>
      <c r="M232" s="108" t="s">
        <v>562</v>
      </c>
      <c r="N232" s="106">
        <v>2</v>
      </c>
      <c r="O232" s="107"/>
      <c r="P232" s="27">
        <v>10.01</v>
      </c>
      <c r="Q232" s="28">
        <f>data[[#This Row],[Costo Producto
Proveedor ($/Unid)]]*data[[#This Row],[Cantidad]]</f>
        <v>0</v>
      </c>
      <c r="R232" s="28">
        <f>data[[#This Row],[Cantidad]]*data[[#This Row],[Precio de Venta Cliente ($/Unid)]]</f>
        <v>20.02</v>
      </c>
      <c r="S232" s="29"/>
      <c r="T232" s="106" t="s">
        <v>22</v>
      </c>
      <c r="U232" s="106"/>
      <c r="V232" s="30" t="s">
        <v>473</v>
      </c>
      <c r="W232" s="30" t="s">
        <v>473</v>
      </c>
      <c r="X232" s="30" t="s">
        <v>473</v>
      </c>
      <c r="Y232" s="30" t="s">
        <v>473</v>
      </c>
      <c r="Z232" s="106" t="s">
        <v>504</v>
      </c>
      <c r="AA232" s="106" t="s">
        <v>553</v>
      </c>
    </row>
    <row r="233" spans="2:27" x14ac:dyDescent="0.25">
      <c r="B233" s="174"/>
      <c r="C233" s="174" t="str">
        <f>TEXT(data[[#This Row],[Fecha de Envío
Cotización]],"MMMM")</f>
        <v>marzo</v>
      </c>
      <c r="D233" s="174">
        <v>44278</v>
      </c>
      <c r="E233" s="174" t="s">
        <v>473</v>
      </c>
      <c r="F233" s="174" t="s">
        <v>473</v>
      </c>
      <c r="G233" s="109"/>
      <c r="H233" s="174" t="s">
        <v>473</v>
      </c>
      <c r="I233" s="86">
        <v>511673</v>
      </c>
      <c r="J233" s="87" t="s">
        <v>551</v>
      </c>
      <c r="K233" s="24" t="s">
        <v>534</v>
      </c>
      <c r="L233" s="106"/>
      <c r="M233" s="108" t="s">
        <v>563</v>
      </c>
      <c r="N233" s="106">
        <v>2</v>
      </c>
      <c r="O233" s="107"/>
      <c r="P233" s="27">
        <v>10.01</v>
      </c>
      <c r="Q233" s="28">
        <f>data[[#This Row],[Costo Producto
Proveedor ($/Unid)]]*data[[#This Row],[Cantidad]]</f>
        <v>0</v>
      </c>
      <c r="R233" s="28">
        <f>data[[#This Row],[Cantidad]]*data[[#This Row],[Precio de Venta Cliente ($/Unid)]]</f>
        <v>20.02</v>
      </c>
      <c r="S233" s="29"/>
      <c r="T233" s="106" t="s">
        <v>22</v>
      </c>
      <c r="U233" s="106"/>
      <c r="V233" s="30" t="s">
        <v>473</v>
      </c>
      <c r="W233" s="30" t="s">
        <v>473</v>
      </c>
      <c r="X233" s="30" t="s">
        <v>473</v>
      </c>
      <c r="Y233" s="30" t="s">
        <v>473</v>
      </c>
      <c r="Z233" s="106" t="s">
        <v>504</v>
      </c>
      <c r="AA233" s="106" t="s">
        <v>553</v>
      </c>
    </row>
    <row r="234" spans="2:27" x14ac:dyDescent="0.25">
      <c r="B234" s="23"/>
      <c r="C234" s="174" t="str">
        <f>TEXT(data[[#This Row],[Fecha de Envío
Cotización]],"MMMM")</f>
        <v>marzo</v>
      </c>
      <c r="D234" s="174">
        <v>44278</v>
      </c>
      <c r="E234" s="174" t="s">
        <v>473</v>
      </c>
      <c r="F234" s="23" t="s">
        <v>473</v>
      </c>
      <c r="G234" s="109"/>
      <c r="H234" s="23" t="s">
        <v>473</v>
      </c>
      <c r="I234" s="86">
        <v>511674</v>
      </c>
      <c r="J234" s="87" t="s">
        <v>551</v>
      </c>
      <c r="K234" s="24" t="s">
        <v>534</v>
      </c>
      <c r="L234" s="39"/>
      <c r="M234" s="108" t="s">
        <v>564</v>
      </c>
      <c r="N234" s="22">
        <v>4</v>
      </c>
      <c r="O234" s="26"/>
      <c r="P234" s="27">
        <v>13.34</v>
      </c>
      <c r="Q234" s="28">
        <f>data[[#This Row],[Costo Producto
Proveedor ($/Unid)]]*data[[#This Row],[Cantidad]]</f>
        <v>0</v>
      </c>
      <c r="R234" s="28">
        <f>data[[#This Row],[Cantidad]]*data[[#This Row],[Precio de Venta Cliente ($/Unid)]]</f>
        <v>53.36</v>
      </c>
      <c r="S234" s="29"/>
      <c r="T234" s="106" t="s">
        <v>22</v>
      </c>
      <c r="U234" s="106"/>
      <c r="V234" s="30" t="s">
        <v>473</v>
      </c>
      <c r="W234" s="30" t="s">
        <v>473</v>
      </c>
      <c r="X234" s="30" t="s">
        <v>473</v>
      </c>
      <c r="Y234" s="30" t="s">
        <v>473</v>
      </c>
      <c r="Z234" s="22" t="s">
        <v>504</v>
      </c>
      <c r="AA234" s="106" t="s">
        <v>553</v>
      </c>
    </row>
    <row r="235" spans="2:27" x14ac:dyDescent="0.25">
      <c r="B235" s="23"/>
      <c r="C235" s="174" t="str">
        <f>TEXT(data[[#This Row],[Fecha de Envío
Cotización]],"MMMM")</f>
        <v>marzo</v>
      </c>
      <c r="D235" s="174">
        <v>44278</v>
      </c>
      <c r="E235" s="174" t="s">
        <v>473</v>
      </c>
      <c r="F235" s="23" t="s">
        <v>473</v>
      </c>
      <c r="G235" s="109"/>
      <c r="H235" s="23" t="s">
        <v>473</v>
      </c>
      <c r="I235" s="86">
        <v>511675</v>
      </c>
      <c r="J235" s="87" t="s">
        <v>551</v>
      </c>
      <c r="K235" s="24" t="s">
        <v>534</v>
      </c>
      <c r="L235" s="39"/>
      <c r="M235" s="108" t="s">
        <v>565</v>
      </c>
      <c r="N235" s="22">
        <v>2</v>
      </c>
      <c r="O235" s="26"/>
      <c r="P235" s="27">
        <v>38.409999999999997</v>
      </c>
      <c r="Q235" s="28">
        <f>data[[#This Row],[Costo Producto
Proveedor ($/Unid)]]*data[[#This Row],[Cantidad]]</f>
        <v>0</v>
      </c>
      <c r="R235" s="28">
        <f>data[[#This Row],[Cantidad]]*data[[#This Row],[Precio de Venta Cliente ($/Unid)]]</f>
        <v>76.819999999999993</v>
      </c>
      <c r="S235" s="29"/>
      <c r="T235" s="106" t="s">
        <v>22</v>
      </c>
      <c r="U235" s="106"/>
      <c r="V235" s="30" t="s">
        <v>473</v>
      </c>
      <c r="W235" s="30" t="s">
        <v>473</v>
      </c>
      <c r="X235" s="30" t="s">
        <v>473</v>
      </c>
      <c r="Y235" s="30" t="s">
        <v>473</v>
      </c>
      <c r="Z235" s="22" t="s">
        <v>504</v>
      </c>
      <c r="AA235" s="106" t="s">
        <v>553</v>
      </c>
    </row>
    <row r="236" spans="2:27" x14ac:dyDescent="0.25">
      <c r="B236" s="174"/>
      <c r="C236" s="174" t="str">
        <f>TEXT(data[[#This Row],[Fecha de Envío
Cotización]],"MMMM")</f>
        <v>marzo</v>
      </c>
      <c r="D236" s="174">
        <v>44278</v>
      </c>
      <c r="E236" s="174" t="str">
        <f>IF(data[[#This Row],[Estatus de 
Cotización]]="PERDIDO","N/A","")</f>
        <v>N/A</v>
      </c>
      <c r="F236" s="174"/>
      <c r="G236" s="109"/>
      <c r="H236" s="174"/>
      <c r="I236" s="86">
        <v>511659</v>
      </c>
      <c r="J236" s="87">
        <v>20716</v>
      </c>
      <c r="K236" s="24" t="s">
        <v>534</v>
      </c>
      <c r="L236" s="106"/>
      <c r="M236" s="108" t="s">
        <v>548</v>
      </c>
      <c r="N236" s="106">
        <v>10</v>
      </c>
      <c r="O236" s="107"/>
      <c r="P236" s="27">
        <v>3.81</v>
      </c>
      <c r="Q236" s="28">
        <f>data[[#This Row],[Costo Producto
Proveedor ($/Unid)]]*data[[#This Row],[Cantidad]]</f>
        <v>0</v>
      </c>
      <c r="R236" s="28">
        <f>data[[#This Row],[Cantidad]]*data[[#This Row],[Precio de Venta Cliente ($/Unid)]]</f>
        <v>38.1</v>
      </c>
      <c r="S236" s="29"/>
      <c r="T236" s="106" t="s">
        <v>22</v>
      </c>
      <c r="U236" s="106"/>
      <c r="V236" s="30" t="s">
        <v>42</v>
      </c>
      <c r="W236" s="32" t="s">
        <v>42</v>
      </c>
      <c r="X236" s="106" t="s">
        <v>23</v>
      </c>
      <c r="Y236" s="106" t="s">
        <v>23</v>
      </c>
      <c r="Z236" s="106" t="s">
        <v>504</v>
      </c>
      <c r="AA236" s="106"/>
    </row>
    <row r="237" spans="2:27" x14ac:dyDescent="0.25">
      <c r="B237" s="23"/>
      <c r="C237" s="174" t="str">
        <f>TEXT(data[[#This Row],[Fecha de Envío
Cotización]],"MMMM")</f>
        <v>marzo</v>
      </c>
      <c r="D237" s="174">
        <v>44280</v>
      </c>
      <c r="E237" s="174" t="str">
        <f>IF(data[[#This Row],[Estatus de 
Cotización]]="PERDIDO","N/A","")</f>
        <v>N/A</v>
      </c>
      <c r="F237" s="23"/>
      <c r="G237" s="109"/>
      <c r="H237" s="23"/>
      <c r="I237" s="86">
        <v>511698</v>
      </c>
      <c r="J237" s="87">
        <v>20715</v>
      </c>
      <c r="K237" s="24" t="s">
        <v>534</v>
      </c>
      <c r="L237" s="22"/>
      <c r="M237" s="108" t="s">
        <v>552</v>
      </c>
      <c r="N237" s="22">
        <v>2</v>
      </c>
      <c r="O237" s="26"/>
      <c r="P237" s="27">
        <v>6.25</v>
      </c>
      <c r="Q237" s="28">
        <f>data[[#This Row],[Costo Producto
Proveedor ($/Unid)]]*data[[#This Row],[Cantidad]]</f>
        <v>0</v>
      </c>
      <c r="R237" s="28">
        <f>data[[#This Row],[Cantidad]]*data[[#This Row],[Precio de Venta Cliente ($/Unid)]]</f>
        <v>12.5</v>
      </c>
      <c r="S237" s="29"/>
      <c r="T237" s="106" t="s">
        <v>22</v>
      </c>
      <c r="U237" s="106"/>
      <c r="V237" s="30" t="s">
        <v>42</v>
      </c>
      <c r="W237" s="32" t="s">
        <v>42</v>
      </c>
      <c r="X237" s="22" t="s">
        <v>23</v>
      </c>
      <c r="Y237" s="22" t="s">
        <v>23</v>
      </c>
      <c r="Z237" s="22" t="s">
        <v>504</v>
      </c>
      <c r="AA237" s="106"/>
    </row>
    <row r="238" spans="2:27" x14ac:dyDescent="0.25">
      <c r="B238" s="23"/>
      <c r="C238" s="174" t="str">
        <f>TEXT(data[[#This Row],[Fecha de Envío
Cotización]],"MMMM")</f>
        <v>marzo</v>
      </c>
      <c r="D238" s="174">
        <v>44280</v>
      </c>
      <c r="E238" s="174" t="str">
        <f>IF(data[[#This Row],[Estatus de 
Cotización]]="PERDIDO","N/A","")</f>
        <v>N/A</v>
      </c>
      <c r="F238" s="23"/>
      <c r="G238" s="109"/>
      <c r="H238" s="23"/>
      <c r="I238" s="86">
        <v>511699</v>
      </c>
      <c r="J238" s="87">
        <v>20715</v>
      </c>
      <c r="K238" s="24" t="s">
        <v>534</v>
      </c>
      <c r="L238" s="22"/>
      <c r="M238" s="108" t="s">
        <v>554</v>
      </c>
      <c r="N238" s="22">
        <v>3</v>
      </c>
      <c r="O238" s="26"/>
      <c r="P238" s="27">
        <v>6.69</v>
      </c>
      <c r="Q238" s="28">
        <f>data[[#This Row],[Costo Producto
Proveedor ($/Unid)]]*data[[#This Row],[Cantidad]]</f>
        <v>0</v>
      </c>
      <c r="R238" s="28">
        <f>data[[#This Row],[Cantidad]]*data[[#This Row],[Precio de Venta Cliente ($/Unid)]]</f>
        <v>20.07</v>
      </c>
      <c r="S238" s="29"/>
      <c r="T238" s="106" t="s">
        <v>22</v>
      </c>
      <c r="U238" s="106"/>
      <c r="V238" s="30" t="s">
        <v>42</v>
      </c>
      <c r="W238" s="32" t="s">
        <v>42</v>
      </c>
      <c r="X238" s="22" t="s">
        <v>23</v>
      </c>
      <c r="Y238" s="22" t="s">
        <v>23</v>
      </c>
      <c r="Z238" s="22" t="s">
        <v>504</v>
      </c>
      <c r="AA238" s="106"/>
    </row>
    <row r="239" spans="2:27" x14ac:dyDescent="0.25">
      <c r="B239" s="174"/>
      <c r="C239" s="174" t="str">
        <f>TEXT(data[[#This Row],[Fecha de Envío
Cotización]],"MMMM")</f>
        <v>marzo</v>
      </c>
      <c r="D239" s="174">
        <v>44280</v>
      </c>
      <c r="E239" s="23" t="str">
        <f>IF(data[[#This Row],[Estatus de 
Cotización]]="PERDIDO","N/A","")</f>
        <v>N/A</v>
      </c>
      <c r="F239" s="174"/>
      <c r="G239" s="109"/>
      <c r="H239" s="174"/>
      <c r="I239" s="86">
        <v>511700</v>
      </c>
      <c r="J239" s="87">
        <v>20715</v>
      </c>
      <c r="K239" s="24" t="s">
        <v>534</v>
      </c>
      <c r="L239" s="106"/>
      <c r="M239" s="108" t="s">
        <v>555</v>
      </c>
      <c r="N239" s="106">
        <v>2</v>
      </c>
      <c r="O239" s="107"/>
      <c r="P239" s="27">
        <v>6.62</v>
      </c>
      <c r="Q239" s="28">
        <f>data[[#This Row],[Costo Producto
Proveedor ($/Unid)]]*data[[#This Row],[Cantidad]]</f>
        <v>0</v>
      </c>
      <c r="R239" s="28">
        <f>data[[#This Row],[Cantidad]]*data[[#This Row],[Precio de Venta Cliente ($/Unid)]]</f>
        <v>13.24</v>
      </c>
      <c r="S239" s="29"/>
      <c r="T239" s="106" t="s">
        <v>22</v>
      </c>
      <c r="U239" s="106"/>
      <c r="V239" s="30" t="s">
        <v>42</v>
      </c>
      <c r="W239" s="32" t="s">
        <v>42</v>
      </c>
      <c r="X239" s="106" t="s">
        <v>23</v>
      </c>
      <c r="Y239" s="106" t="s">
        <v>23</v>
      </c>
      <c r="Z239" s="106" t="s">
        <v>504</v>
      </c>
      <c r="AA239" s="106"/>
    </row>
    <row r="240" spans="2:27" x14ac:dyDescent="0.25">
      <c r="B240" s="23"/>
      <c r="C240" s="174" t="str">
        <f>TEXT(data[[#This Row],[Fecha de Envío
Cotización]],"MMMM")</f>
        <v>marzo</v>
      </c>
      <c r="D240" s="174">
        <v>44280</v>
      </c>
      <c r="E240" s="174" t="str">
        <f>IF(data[[#This Row],[Estatus de 
Cotización]]="PERDIDO","N/A","")</f>
        <v>N/A</v>
      </c>
      <c r="F240" s="35"/>
      <c r="G240" s="109"/>
      <c r="H240" s="23"/>
      <c r="I240" s="86">
        <v>511701</v>
      </c>
      <c r="J240" s="87">
        <v>20715</v>
      </c>
      <c r="K240" s="24" t="s">
        <v>534</v>
      </c>
      <c r="L240" s="22"/>
      <c r="M240" s="25" t="s">
        <v>556</v>
      </c>
      <c r="N240" s="22">
        <v>2</v>
      </c>
      <c r="O240" s="26"/>
      <c r="P240" s="27">
        <v>5.6</v>
      </c>
      <c r="Q240" s="28">
        <f>data[[#This Row],[Costo Producto
Proveedor ($/Unid)]]*data[[#This Row],[Cantidad]]</f>
        <v>0</v>
      </c>
      <c r="R240" s="28">
        <f>data[[#This Row],[Cantidad]]*data[[#This Row],[Precio de Venta Cliente ($/Unid)]]</f>
        <v>11.2</v>
      </c>
      <c r="S240" s="29"/>
      <c r="T240" s="106" t="s">
        <v>22</v>
      </c>
      <c r="U240" s="106"/>
      <c r="V240" s="30" t="s">
        <v>42</v>
      </c>
      <c r="W240" s="32" t="s">
        <v>42</v>
      </c>
      <c r="X240" s="22" t="s">
        <v>23</v>
      </c>
      <c r="Y240" s="22" t="s">
        <v>23</v>
      </c>
      <c r="Z240" s="22" t="s">
        <v>504</v>
      </c>
      <c r="AA240" s="106"/>
    </row>
    <row r="241" spans="2:27" x14ac:dyDescent="0.25">
      <c r="B241" s="23"/>
      <c r="C241" s="174" t="str">
        <f>TEXT(data[[#This Row],[Fecha de Envío
Cotización]],"MMMM")</f>
        <v>marzo</v>
      </c>
      <c r="D241" s="174">
        <v>44280</v>
      </c>
      <c r="E241" s="174" t="str">
        <f>IF(data[[#This Row],[Estatus de 
Cotización]]="PERDIDO","N/A","")</f>
        <v>N/A</v>
      </c>
      <c r="F241" s="35"/>
      <c r="G241" s="109"/>
      <c r="H241" s="23"/>
      <c r="I241" s="86">
        <v>511702</v>
      </c>
      <c r="J241" s="87">
        <v>20715</v>
      </c>
      <c r="K241" s="24" t="s">
        <v>534</v>
      </c>
      <c r="L241" s="22"/>
      <c r="M241" s="25" t="s">
        <v>557</v>
      </c>
      <c r="N241" s="22">
        <v>1</v>
      </c>
      <c r="O241" s="26"/>
      <c r="P241" s="27">
        <v>41.74</v>
      </c>
      <c r="Q241" s="28">
        <f>data[[#This Row],[Costo Producto
Proveedor ($/Unid)]]*data[[#This Row],[Cantidad]]</f>
        <v>0</v>
      </c>
      <c r="R241" s="28">
        <f>data[[#This Row],[Cantidad]]*data[[#This Row],[Precio de Venta Cliente ($/Unid)]]</f>
        <v>41.74</v>
      </c>
      <c r="S241" s="29"/>
      <c r="T241" s="106" t="s">
        <v>22</v>
      </c>
      <c r="U241" s="106"/>
      <c r="V241" s="30" t="s">
        <v>42</v>
      </c>
      <c r="W241" s="32" t="s">
        <v>42</v>
      </c>
      <c r="X241" s="22" t="s">
        <v>23</v>
      </c>
      <c r="Y241" s="22" t="s">
        <v>23</v>
      </c>
      <c r="Z241" s="22" t="s">
        <v>504</v>
      </c>
      <c r="AA241" s="106"/>
    </row>
    <row r="242" spans="2:27" x14ac:dyDescent="0.25">
      <c r="B242" s="174"/>
      <c r="C242" s="174" t="str">
        <f>TEXT(data[[#This Row],[Fecha de Envío
Cotización]],"MMMM")</f>
        <v>marzo</v>
      </c>
      <c r="D242" s="174">
        <v>44280</v>
      </c>
      <c r="E242" s="174" t="str">
        <f>IF(data[[#This Row],[Estatus de 
Cotización]]="PERDIDO","N/A","")</f>
        <v>N/A</v>
      </c>
      <c r="F242" s="174"/>
      <c r="G242" s="109"/>
      <c r="H242" s="174"/>
      <c r="I242" s="86">
        <v>511703</v>
      </c>
      <c r="J242" s="87">
        <v>20715</v>
      </c>
      <c r="K242" s="24" t="s">
        <v>534</v>
      </c>
      <c r="L242" s="106"/>
      <c r="M242" s="108" t="s">
        <v>558</v>
      </c>
      <c r="N242" s="106">
        <v>1</v>
      </c>
      <c r="O242" s="107"/>
      <c r="P242" s="27">
        <v>41.74</v>
      </c>
      <c r="Q242" s="28">
        <f>data[[#This Row],[Costo Producto
Proveedor ($/Unid)]]*data[[#This Row],[Cantidad]]</f>
        <v>0</v>
      </c>
      <c r="R242" s="28">
        <f>data[[#This Row],[Cantidad]]*data[[#This Row],[Precio de Venta Cliente ($/Unid)]]</f>
        <v>41.74</v>
      </c>
      <c r="S242" s="29"/>
      <c r="T242" s="106" t="s">
        <v>22</v>
      </c>
      <c r="U242" s="106"/>
      <c r="V242" s="30" t="s">
        <v>42</v>
      </c>
      <c r="W242" s="32" t="s">
        <v>42</v>
      </c>
      <c r="X242" s="106" t="s">
        <v>23</v>
      </c>
      <c r="Y242" s="106" t="s">
        <v>23</v>
      </c>
      <c r="Z242" s="106" t="s">
        <v>504</v>
      </c>
      <c r="AA242" s="106"/>
    </row>
    <row r="243" spans="2:27" x14ac:dyDescent="0.25">
      <c r="B243" s="174"/>
      <c r="C243" s="174" t="str">
        <f>TEXT(data[[#This Row],[Fecha de Envío
Cotización]],"MMMM")</f>
        <v>marzo</v>
      </c>
      <c r="D243" s="174">
        <v>44280</v>
      </c>
      <c r="E243" s="174" t="str">
        <f>IF(data[[#This Row],[Estatus de 
Cotización]]="PERDIDO","N/A","")</f>
        <v>N/A</v>
      </c>
      <c r="F243" s="174"/>
      <c r="G243" s="109"/>
      <c r="H243" s="174"/>
      <c r="I243" s="86">
        <v>511704</v>
      </c>
      <c r="J243" s="87">
        <v>20715</v>
      </c>
      <c r="K243" s="24" t="s">
        <v>534</v>
      </c>
      <c r="L243" s="106"/>
      <c r="M243" s="108" t="s">
        <v>559</v>
      </c>
      <c r="N243" s="106">
        <v>2</v>
      </c>
      <c r="O243" s="107"/>
      <c r="P243" s="27">
        <v>75.13</v>
      </c>
      <c r="Q243" s="28">
        <f>data[[#This Row],[Costo Producto
Proveedor ($/Unid)]]*data[[#This Row],[Cantidad]]</f>
        <v>0</v>
      </c>
      <c r="R243" s="28">
        <f>data[[#This Row],[Cantidad]]*data[[#This Row],[Precio de Venta Cliente ($/Unid)]]</f>
        <v>150.26</v>
      </c>
      <c r="S243" s="29"/>
      <c r="T243" s="106" t="s">
        <v>22</v>
      </c>
      <c r="U243" s="106"/>
      <c r="V243" s="30" t="s">
        <v>42</v>
      </c>
      <c r="W243" s="32" t="s">
        <v>42</v>
      </c>
      <c r="X243" s="106" t="s">
        <v>23</v>
      </c>
      <c r="Y243" s="106" t="s">
        <v>23</v>
      </c>
      <c r="Z243" s="106" t="s">
        <v>504</v>
      </c>
      <c r="AA243" s="106"/>
    </row>
    <row r="244" spans="2:27" x14ac:dyDescent="0.25">
      <c r="B244" s="174"/>
      <c r="C244" s="174" t="str">
        <f>TEXT(data[[#This Row],[Fecha de Envío
Cotización]],"MMMM")</f>
        <v>marzo</v>
      </c>
      <c r="D244" s="174">
        <v>44280</v>
      </c>
      <c r="E244" s="174" t="str">
        <f>IF(data[[#This Row],[Estatus de 
Cotización]]="PERDIDO","N/A","")</f>
        <v>N/A</v>
      </c>
      <c r="F244" s="174"/>
      <c r="G244" s="109"/>
      <c r="H244" s="174"/>
      <c r="I244" s="86">
        <v>511705</v>
      </c>
      <c r="J244" s="87">
        <v>20715</v>
      </c>
      <c r="K244" s="24" t="s">
        <v>534</v>
      </c>
      <c r="L244" s="106"/>
      <c r="M244" s="108" t="s">
        <v>560</v>
      </c>
      <c r="N244" s="106">
        <v>2</v>
      </c>
      <c r="O244" s="107"/>
      <c r="P244" s="27">
        <v>5</v>
      </c>
      <c r="Q244" s="28">
        <f>data[[#This Row],[Costo Producto
Proveedor ($/Unid)]]*data[[#This Row],[Cantidad]]</f>
        <v>0</v>
      </c>
      <c r="R244" s="28">
        <f>data[[#This Row],[Cantidad]]*data[[#This Row],[Precio de Venta Cliente ($/Unid)]]</f>
        <v>10</v>
      </c>
      <c r="S244" s="29"/>
      <c r="T244" s="106" t="s">
        <v>22</v>
      </c>
      <c r="U244" s="106"/>
      <c r="V244" s="30" t="s">
        <v>42</v>
      </c>
      <c r="W244" s="32" t="s">
        <v>42</v>
      </c>
      <c r="X244" s="106" t="s">
        <v>23</v>
      </c>
      <c r="Y244" s="106" t="s">
        <v>23</v>
      </c>
      <c r="Z244" s="106" t="s">
        <v>504</v>
      </c>
      <c r="AA244" s="106"/>
    </row>
    <row r="245" spans="2:27" x14ac:dyDescent="0.25">
      <c r="B245" s="174"/>
      <c r="C245" s="174" t="str">
        <f>TEXT(data[[#This Row],[Fecha de Envío
Cotización]],"MMMM")</f>
        <v>marzo</v>
      </c>
      <c r="D245" s="174">
        <v>44280</v>
      </c>
      <c r="E245" s="174" t="str">
        <f>IF(data[[#This Row],[Estatus de 
Cotización]]="PERDIDO","N/A","")</f>
        <v>N/A</v>
      </c>
      <c r="F245" s="174"/>
      <c r="G245" s="109"/>
      <c r="H245" s="174"/>
      <c r="I245" s="86">
        <v>511706</v>
      </c>
      <c r="J245" s="87">
        <v>20715</v>
      </c>
      <c r="K245" s="24" t="s">
        <v>534</v>
      </c>
      <c r="L245" s="106"/>
      <c r="M245" s="108" t="s">
        <v>561</v>
      </c>
      <c r="N245" s="106">
        <v>2</v>
      </c>
      <c r="O245" s="107"/>
      <c r="P245" s="27">
        <v>11.68</v>
      </c>
      <c r="Q245" s="28">
        <f>data[[#This Row],[Costo Producto
Proveedor ($/Unid)]]*data[[#This Row],[Cantidad]]</f>
        <v>0</v>
      </c>
      <c r="R245" s="28">
        <f>data[[#This Row],[Cantidad]]*data[[#This Row],[Precio de Venta Cliente ($/Unid)]]</f>
        <v>23.36</v>
      </c>
      <c r="S245" s="29"/>
      <c r="T245" s="106" t="s">
        <v>22</v>
      </c>
      <c r="U245" s="106"/>
      <c r="V245" s="30" t="s">
        <v>42</v>
      </c>
      <c r="W245" s="32" t="s">
        <v>42</v>
      </c>
      <c r="X245" s="106" t="s">
        <v>23</v>
      </c>
      <c r="Y245" s="106" t="s">
        <v>23</v>
      </c>
      <c r="Z245" s="106" t="s">
        <v>504</v>
      </c>
      <c r="AA245" s="106"/>
    </row>
    <row r="246" spans="2:27" x14ac:dyDescent="0.25">
      <c r="B246" s="174"/>
      <c r="C246" s="174" t="str">
        <f>TEXT(data[[#This Row],[Fecha de Envío
Cotización]],"MMMM")</f>
        <v>marzo</v>
      </c>
      <c r="D246" s="174">
        <v>44280</v>
      </c>
      <c r="E246" s="174" t="str">
        <f>IF(data[[#This Row],[Estatus de 
Cotización]]="PERDIDO","N/A","")</f>
        <v>N/A</v>
      </c>
      <c r="F246" s="174"/>
      <c r="G246" s="109"/>
      <c r="H246" s="174"/>
      <c r="I246" s="86">
        <v>511707</v>
      </c>
      <c r="J246" s="87">
        <v>20715</v>
      </c>
      <c r="K246" s="24" t="s">
        <v>534</v>
      </c>
      <c r="L246" s="106"/>
      <c r="M246" s="108" t="s">
        <v>562</v>
      </c>
      <c r="N246" s="106">
        <v>2</v>
      </c>
      <c r="O246" s="107"/>
      <c r="P246" s="27">
        <v>6.98</v>
      </c>
      <c r="Q246" s="28">
        <f>data[[#This Row],[Costo Producto
Proveedor ($/Unid)]]*data[[#This Row],[Cantidad]]</f>
        <v>0</v>
      </c>
      <c r="R246" s="28">
        <f>data[[#This Row],[Cantidad]]*data[[#This Row],[Precio de Venta Cliente ($/Unid)]]</f>
        <v>13.96</v>
      </c>
      <c r="S246" s="29"/>
      <c r="T246" s="106" t="s">
        <v>22</v>
      </c>
      <c r="U246" s="106"/>
      <c r="V246" s="30" t="s">
        <v>42</v>
      </c>
      <c r="W246" s="32" t="s">
        <v>42</v>
      </c>
      <c r="X246" s="106" t="s">
        <v>23</v>
      </c>
      <c r="Y246" s="106" t="s">
        <v>23</v>
      </c>
      <c r="Z246" s="106" t="s">
        <v>504</v>
      </c>
      <c r="AA246" s="106"/>
    </row>
    <row r="247" spans="2:27" x14ac:dyDescent="0.25">
      <c r="B247" s="174"/>
      <c r="C247" s="174" t="str">
        <f>TEXT(data[[#This Row],[Fecha de Envío
Cotización]],"MMMM")</f>
        <v>marzo</v>
      </c>
      <c r="D247" s="174">
        <v>44280</v>
      </c>
      <c r="E247" s="174" t="str">
        <f>IF(data[[#This Row],[Estatus de 
Cotización]]="PERDIDO","N/A","")</f>
        <v>N/A</v>
      </c>
      <c r="F247" s="174"/>
      <c r="G247" s="109"/>
      <c r="H247" s="174"/>
      <c r="I247" s="86">
        <v>511708</v>
      </c>
      <c r="J247" s="87">
        <v>20715</v>
      </c>
      <c r="K247" s="24" t="s">
        <v>534</v>
      </c>
      <c r="L247" s="106"/>
      <c r="M247" s="108" t="s">
        <v>563</v>
      </c>
      <c r="N247" s="106">
        <v>2</v>
      </c>
      <c r="O247" s="107"/>
      <c r="P247" s="27">
        <v>6.98</v>
      </c>
      <c r="Q247" s="28">
        <f>data[[#This Row],[Costo Producto
Proveedor ($/Unid)]]*data[[#This Row],[Cantidad]]</f>
        <v>0</v>
      </c>
      <c r="R247" s="28">
        <f>data[[#This Row],[Cantidad]]*data[[#This Row],[Precio de Venta Cliente ($/Unid)]]</f>
        <v>13.96</v>
      </c>
      <c r="S247" s="29"/>
      <c r="T247" s="106" t="s">
        <v>22</v>
      </c>
      <c r="U247" s="106"/>
      <c r="V247" s="30" t="s">
        <v>42</v>
      </c>
      <c r="W247" s="32" t="s">
        <v>42</v>
      </c>
      <c r="X247" s="106" t="s">
        <v>23</v>
      </c>
      <c r="Y247" s="106" t="s">
        <v>23</v>
      </c>
      <c r="Z247" s="106" t="s">
        <v>504</v>
      </c>
      <c r="AA247" s="106"/>
    </row>
    <row r="248" spans="2:27" x14ac:dyDescent="0.25">
      <c r="B248" s="174"/>
      <c r="C248" s="174" t="str">
        <f>TEXT(data[[#This Row],[Fecha de Envío
Cotización]],"MMMM")</f>
        <v>marzo</v>
      </c>
      <c r="D248" s="174">
        <v>44280</v>
      </c>
      <c r="E248" s="23" t="str">
        <f>IF(data[[#This Row],[Estatus de 
Cotización]]="PERDIDO","N/A","")</f>
        <v>N/A</v>
      </c>
      <c r="F248" s="174"/>
      <c r="G248" s="109"/>
      <c r="H248" s="174"/>
      <c r="I248" s="86">
        <v>511709</v>
      </c>
      <c r="J248" s="87">
        <v>20715</v>
      </c>
      <c r="K248" s="24" t="s">
        <v>534</v>
      </c>
      <c r="L248" s="106"/>
      <c r="M248" s="108" t="s">
        <v>564</v>
      </c>
      <c r="N248" s="106">
        <v>4</v>
      </c>
      <c r="O248" s="107"/>
      <c r="P248" s="27">
        <v>13.34</v>
      </c>
      <c r="Q248" s="28">
        <f>data[[#This Row],[Costo Producto
Proveedor ($/Unid)]]*data[[#This Row],[Cantidad]]</f>
        <v>0</v>
      </c>
      <c r="R248" s="28">
        <f>data[[#This Row],[Cantidad]]*data[[#This Row],[Precio de Venta Cliente ($/Unid)]]</f>
        <v>53.36</v>
      </c>
      <c r="S248" s="29"/>
      <c r="T248" s="106" t="s">
        <v>22</v>
      </c>
      <c r="U248" s="106"/>
      <c r="V248" s="30" t="s">
        <v>42</v>
      </c>
      <c r="W248" s="32" t="s">
        <v>42</v>
      </c>
      <c r="X248" s="106" t="s">
        <v>23</v>
      </c>
      <c r="Y248" s="106" t="s">
        <v>23</v>
      </c>
      <c r="Z248" s="106" t="s">
        <v>504</v>
      </c>
      <c r="AA248" s="106"/>
    </row>
    <row r="249" spans="2:27" x14ac:dyDescent="0.25">
      <c r="B249" s="174"/>
      <c r="C249" s="174" t="str">
        <f>TEXT(data[[#This Row],[Fecha de Envío
Cotización]],"MMMM")</f>
        <v>marzo</v>
      </c>
      <c r="D249" s="174">
        <v>44280</v>
      </c>
      <c r="E249" s="23" t="str">
        <f>IF(data[[#This Row],[Estatus de 
Cotización]]="PERDIDO","N/A","")</f>
        <v>N/A</v>
      </c>
      <c r="F249" s="174"/>
      <c r="G249" s="109"/>
      <c r="H249" s="174"/>
      <c r="I249" s="86">
        <v>511710</v>
      </c>
      <c r="J249" s="87">
        <v>20715</v>
      </c>
      <c r="K249" s="24" t="s">
        <v>534</v>
      </c>
      <c r="L249" s="106"/>
      <c r="M249" s="108" t="s">
        <v>565</v>
      </c>
      <c r="N249" s="106">
        <v>2</v>
      </c>
      <c r="O249" s="107"/>
      <c r="P249" s="27">
        <v>38.409999999999997</v>
      </c>
      <c r="Q249" s="28">
        <f>data[[#This Row],[Costo Producto
Proveedor ($/Unid)]]*data[[#This Row],[Cantidad]]</f>
        <v>0</v>
      </c>
      <c r="R249" s="28">
        <f>data[[#This Row],[Cantidad]]*data[[#This Row],[Precio de Venta Cliente ($/Unid)]]</f>
        <v>76.819999999999993</v>
      </c>
      <c r="S249" s="29"/>
      <c r="T249" s="106" t="s">
        <v>22</v>
      </c>
      <c r="U249" s="106"/>
      <c r="V249" s="30" t="s">
        <v>42</v>
      </c>
      <c r="W249" s="32" t="s">
        <v>42</v>
      </c>
      <c r="X249" s="106" t="s">
        <v>23</v>
      </c>
      <c r="Y249" s="106" t="s">
        <v>23</v>
      </c>
      <c r="Z249" s="106" t="s">
        <v>504</v>
      </c>
      <c r="AA249" s="106"/>
    </row>
    <row r="250" spans="2:27" x14ac:dyDescent="0.25">
      <c r="B250" s="174"/>
      <c r="C250" s="174" t="str">
        <f>TEXT(data[[#This Row],[Fecha de Envío
Cotización]],"MMMM")</f>
        <v>marzo</v>
      </c>
      <c r="D250" s="174">
        <v>44281</v>
      </c>
      <c r="E250" s="23" t="s">
        <v>473</v>
      </c>
      <c r="F250" s="174" t="s">
        <v>473</v>
      </c>
      <c r="G250" s="109"/>
      <c r="H250" s="174" t="s">
        <v>473</v>
      </c>
      <c r="I250" s="86">
        <v>511717</v>
      </c>
      <c r="J250" s="87" t="s">
        <v>566</v>
      </c>
      <c r="K250" s="24" t="s">
        <v>534</v>
      </c>
      <c r="L250" s="106"/>
      <c r="M250" s="108" t="s">
        <v>548</v>
      </c>
      <c r="N250" s="106">
        <v>10</v>
      </c>
      <c r="O250" s="107"/>
      <c r="P250" s="27">
        <v>5.5</v>
      </c>
      <c r="Q250" s="28">
        <f>data[[#This Row],[Costo Producto
Proveedor ($/Unid)]]*data[[#This Row],[Cantidad]]</f>
        <v>0</v>
      </c>
      <c r="R250" s="28">
        <f>data[[#This Row],[Cantidad]]*data[[#This Row],[Precio de Venta Cliente ($/Unid)]]</f>
        <v>55</v>
      </c>
      <c r="S250" s="29"/>
      <c r="T250" s="106" t="s">
        <v>22</v>
      </c>
      <c r="U250" s="106"/>
      <c r="V250" s="30" t="s">
        <v>473</v>
      </c>
      <c r="W250" s="32" t="s">
        <v>473</v>
      </c>
      <c r="X250" s="106" t="s">
        <v>473</v>
      </c>
      <c r="Y250" s="106" t="s">
        <v>473</v>
      </c>
      <c r="Z250" s="106" t="s">
        <v>504</v>
      </c>
      <c r="AA250" s="106"/>
    </row>
    <row r="251" spans="2:27" x14ac:dyDescent="0.25">
      <c r="B251" s="174"/>
      <c r="C251" s="174" t="str">
        <f>TEXT(data[[#This Row],[Fecha de Envío
Cotización]],"MMMM")</f>
        <v>marzo</v>
      </c>
      <c r="D251" s="174">
        <v>44281</v>
      </c>
      <c r="E251" s="23" t="s">
        <v>473</v>
      </c>
      <c r="F251" s="174" t="s">
        <v>473</v>
      </c>
      <c r="G251" s="109"/>
      <c r="H251" s="174" t="s">
        <v>473</v>
      </c>
      <c r="I251" s="86">
        <v>511718</v>
      </c>
      <c r="J251" s="87" t="s">
        <v>566</v>
      </c>
      <c r="K251" s="24" t="s">
        <v>534</v>
      </c>
      <c r="L251" s="106"/>
      <c r="M251" s="108" t="s">
        <v>548</v>
      </c>
      <c r="N251" s="106">
        <v>12</v>
      </c>
      <c r="O251" s="107"/>
      <c r="P251" s="27">
        <v>5.5</v>
      </c>
      <c r="Q251" s="28">
        <f>data[[#This Row],[Costo Producto
Proveedor ($/Unid)]]*data[[#This Row],[Cantidad]]</f>
        <v>0</v>
      </c>
      <c r="R251" s="28">
        <f>data[[#This Row],[Cantidad]]*data[[#This Row],[Precio de Venta Cliente ($/Unid)]]</f>
        <v>66</v>
      </c>
      <c r="S251" s="29"/>
      <c r="T251" s="106" t="s">
        <v>22</v>
      </c>
      <c r="U251" s="106"/>
      <c r="V251" s="30" t="s">
        <v>473</v>
      </c>
      <c r="W251" s="32" t="s">
        <v>473</v>
      </c>
      <c r="X251" s="106" t="s">
        <v>473</v>
      </c>
      <c r="Y251" s="106" t="s">
        <v>473</v>
      </c>
      <c r="Z251" s="106" t="s">
        <v>504</v>
      </c>
      <c r="AA251" s="106"/>
    </row>
    <row r="252" spans="2:27" x14ac:dyDescent="0.25">
      <c r="B252" s="174"/>
      <c r="C252" s="174" t="str">
        <f>TEXT(data[[#This Row],[Fecha de Envío
Cotización]],"MMMM")</f>
        <v>marzo</v>
      </c>
      <c r="D252" s="174">
        <v>44281</v>
      </c>
      <c r="E252" s="23" t="str">
        <f>IF(data[[#This Row],[Estatus de 
Cotización]]="PERDIDO","N/A","")</f>
        <v>N/A</v>
      </c>
      <c r="F252" s="174"/>
      <c r="G252" s="109"/>
      <c r="H252" s="174"/>
      <c r="I252" s="86">
        <v>511719</v>
      </c>
      <c r="J252" s="87">
        <v>20716</v>
      </c>
      <c r="K252" s="24" t="s">
        <v>534</v>
      </c>
      <c r="L252" s="106"/>
      <c r="M252" s="108" t="s">
        <v>535</v>
      </c>
      <c r="N252" s="106">
        <v>2</v>
      </c>
      <c r="O252" s="107"/>
      <c r="P252" s="27">
        <v>4.07</v>
      </c>
      <c r="Q252" s="28">
        <f>data[[#This Row],[Costo Producto
Proveedor ($/Unid)]]*data[[#This Row],[Cantidad]]</f>
        <v>0</v>
      </c>
      <c r="R252" s="28">
        <f>data[[#This Row],[Cantidad]]*data[[#This Row],[Precio de Venta Cliente ($/Unid)]]</f>
        <v>8.14</v>
      </c>
      <c r="S252" s="29"/>
      <c r="T252" s="106" t="s">
        <v>22</v>
      </c>
      <c r="U252" s="106"/>
      <c r="V252" s="30" t="s">
        <v>42</v>
      </c>
      <c r="W252" s="32" t="s">
        <v>42</v>
      </c>
      <c r="X252" s="106" t="s">
        <v>23</v>
      </c>
      <c r="Y252" s="106" t="s">
        <v>23</v>
      </c>
      <c r="Z252" s="106" t="s">
        <v>504</v>
      </c>
      <c r="AA252" s="106"/>
    </row>
    <row r="253" spans="2:27" x14ac:dyDescent="0.25">
      <c r="B253" s="174"/>
      <c r="C253" s="174" t="str">
        <f>TEXT(data[[#This Row],[Fecha de Envío
Cotización]],"MMMM")</f>
        <v>marzo</v>
      </c>
      <c r="D253" s="174">
        <v>44281</v>
      </c>
      <c r="E253" s="23" t="str">
        <f>IF(data[[#This Row],[Estatus de 
Cotización]]="PERDIDO","N/A","")</f>
        <v>N/A</v>
      </c>
      <c r="F253" s="174"/>
      <c r="G253" s="109"/>
      <c r="H253" s="174"/>
      <c r="I253" s="86">
        <v>511731</v>
      </c>
      <c r="J253" s="87">
        <v>20716</v>
      </c>
      <c r="K253" s="24" t="s">
        <v>534</v>
      </c>
      <c r="L253" s="106"/>
      <c r="M253" s="108" t="s">
        <v>549</v>
      </c>
      <c r="N253" s="106">
        <v>2</v>
      </c>
      <c r="O253" s="107"/>
      <c r="P253" s="27">
        <v>4.07</v>
      </c>
      <c r="Q253" s="28">
        <f>data[[#This Row],[Costo Producto
Proveedor ($/Unid)]]*data[[#This Row],[Cantidad]]</f>
        <v>0</v>
      </c>
      <c r="R253" s="28">
        <f>data[[#This Row],[Cantidad]]*data[[#This Row],[Precio de Venta Cliente ($/Unid)]]</f>
        <v>8.14</v>
      </c>
      <c r="S253" s="29"/>
      <c r="T253" s="106" t="s">
        <v>22</v>
      </c>
      <c r="U253" s="106"/>
      <c r="V253" s="30" t="s">
        <v>42</v>
      </c>
      <c r="W253" s="32" t="s">
        <v>42</v>
      </c>
      <c r="X253" s="106" t="s">
        <v>23</v>
      </c>
      <c r="Y253" s="106" t="s">
        <v>23</v>
      </c>
      <c r="Z253" s="106" t="s">
        <v>504</v>
      </c>
      <c r="AA253" s="106"/>
    </row>
    <row r="254" spans="2:27" x14ac:dyDescent="0.25">
      <c r="B254" s="174"/>
      <c r="C254" s="174" t="str">
        <f>TEXT(data[[#This Row],[Fecha de Envío
Cotización]],"MMMM")</f>
        <v>marzo</v>
      </c>
      <c r="D254" s="174">
        <v>44281</v>
      </c>
      <c r="E254" s="23" t="s">
        <v>23</v>
      </c>
      <c r="F254" s="174"/>
      <c r="G254" s="109"/>
      <c r="H254" s="174"/>
      <c r="I254" s="86">
        <v>511732</v>
      </c>
      <c r="J254" s="87">
        <v>20716</v>
      </c>
      <c r="K254" s="24" t="s">
        <v>534</v>
      </c>
      <c r="L254" s="106"/>
      <c r="M254" s="108" t="s">
        <v>550</v>
      </c>
      <c r="N254" s="106">
        <v>2</v>
      </c>
      <c r="O254" s="107"/>
      <c r="P254" s="27">
        <v>9.44</v>
      </c>
      <c r="Q254" s="28">
        <f>data[[#This Row],[Costo Producto
Proveedor ($/Unid)]]*data[[#This Row],[Cantidad]]</f>
        <v>0</v>
      </c>
      <c r="R254" s="28">
        <f>data[[#This Row],[Cantidad]]*data[[#This Row],[Precio de Venta Cliente ($/Unid)]]</f>
        <v>18.88</v>
      </c>
      <c r="S254" s="29"/>
      <c r="T254" s="106" t="s">
        <v>22</v>
      </c>
      <c r="U254" s="106"/>
      <c r="V254" s="30" t="s">
        <v>42</v>
      </c>
      <c r="W254" s="32" t="s">
        <v>42</v>
      </c>
      <c r="X254" s="106" t="s">
        <v>23</v>
      </c>
      <c r="Y254" s="106" t="s">
        <v>23</v>
      </c>
      <c r="Z254" s="106" t="s">
        <v>504</v>
      </c>
      <c r="AA254" s="106"/>
    </row>
    <row r="255" spans="2:27" x14ac:dyDescent="0.25">
      <c r="B255" s="23"/>
      <c r="C255" s="174" t="str">
        <f>TEXT(data[[#This Row],[Fecha de Envío
Cotización]],"MMMM")</f>
        <v>marzo</v>
      </c>
      <c r="D255" s="174">
        <v>44281</v>
      </c>
      <c r="E255" s="23" t="str">
        <f>IF(data[[#This Row],[Estatus de 
Cotización]]="PERDIDO","N/A","")</f>
        <v>N/A</v>
      </c>
      <c r="F255" s="23"/>
      <c r="G255" s="109"/>
      <c r="H255" s="23"/>
      <c r="I255" s="86">
        <v>511733</v>
      </c>
      <c r="J255" s="87">
        <v>20717</v>
      </c>
      <c r="K255" s="24" t="s">
        <v>32</v>
      </c>
      <c r="L255" s="22"/>
      <c r="M255" s="25" t="s">
        <v>567</v>
      </c>
      <c r="N255" s="22">
        <v>50</v>
      </c>
      <c r="O255" s="26"/>
      <c r="P255" s="27">
        <v>5.96</v>
      </c>
      <c r="Q255" s="28">
        <f>data[[#This Row],[Costo Producto
Proveedor ($/Unid)]]*data[[#This Row],[Cantidad]]</f>
        <v>0</v>
      </c>
      <c r="R255" s="28">
        <f>data[[#This Row],[Cantidad]]*data[[#This Row],[Precio de Venta Cliente ($/Unid)]]</f>
        <v>298</v>
      </c>
      <c r="S255" s="29"/>
      <c r="T255" s="106" t="s">
        <v>22</v>
      </c>
      <c r="U255" s="106"/>
      <c r="V255" s="30" t="s">
        <v>42</v>
      </c>
      <c r="W255" s="32" t="s">
        <v>42</v>
      </c>
      <c r="X255" s="106" t="s">
        <v>23</v>
      </c>
      <c r="Y255" s="106" t="s">
        <v>23</v>
      </c>
      <c r="Z255" s="22" t="s">
        <v>504</v>
      </c>
      <c r="AA255" s="106"/>
    </row>
    <row r="256" spans="2:27" x14ac:dyDescent="0.25">
      <c r="B256" s="174"/>
      <c r="C256" s="174" t="str">
        <f>TEXT(data[[#This Row],[Fecha de Envío
Cotización]],"MMMM")</f>
        <v>marzo</v>
      </c>
      <c r="D256" s="174">
        <v>44281</v>
      </c>
      <c r="E256" s="174" t="str">
        <f>IF(data[[#This Row],[Estatus de 
Cotización]]="PERDIDO","N/A","")</f>
        <v>N/A</v>
      </c>
      <c r="F256" s="174"/>
      <c r="G256" s="109"/>
      <c r="H256" s="174"/>
      <c r="I256" s="86">
        <v>511734</v>
      </c>
      <c r="J256" s="87">
        <v>20717</v>
      </c>
      <c r="K256" s="24" t="s">
        <v>32</v>
      </c>
      <c r="L256" s="106"/>
      <c r="M256" s="108" t="s">
        <v>568</v>
      </c>
      <c r="N256" s="106">
        <v>6</v>
      </c>
      <c r="O256" s="107"/>
      <c r="P256" s="27">
        <v>23.61</v>
      </c>
      <c r="Q256" s="28">
        <f>data[[#This Row],[Costo Producto
Proveedor ($/Unid)]]*data[[#This Row],[Cantidad]]</f>
        <v>0</v>
      </c>
      <c r="R256" s="28">
        <f>data[[#This Row],[Cantidad]]*data[[#This Row],[Precio de Venta Cliente ($/Unid)]]</f>
        <v>141.66</v>
      </c>
      <c r="S256" s="29"/>
      <c r="T256" s="106" t="s">
        <v>22</v>
      </c>
      <c r="U256" s="106"/>
      <c r="V256" s="30" t="s">
        <v>42</v>
      </c>
      <c r="W256" s="32" t="s">
        <v>42</v>
      </c>
      <c r="X256" s="106" t="s">
        <v>23</v>
      </c>
      <c r="Y256" s="106" t="s">
        <v>23</v>
      </c>
      <c r="Z256" s="106" t="s">
        <v>504</v>
      </c>
      <c r="AA256" s="106"/>
    </row>
    <row r="257" spans="2:27" x14ac:dyDescent="0.25">
      <c r="B257" s="174"/>
      <c r="C257" s="174" t="str">
        <f>TEXT(data[[#This Row],[Fecha de Envío
Cotización]],"MMMM")</f>
        <v>marzo</v>
      </c>
      <c r="D257" s="174">
        <v>44281</v>
      </c>
      <c r="E257" s="174" t="str">
        <f>IF(data[[#This Row],[Estatus de 
Cotización]]="PERDIDO","N/A","")</f>
        <v>N/A</v>
      </c>
      <c r="F257" s="174"/>
      <c r="G257" s="109"/>
      <c r="H257" s="174"/>
      <c r="I257" s="86">
        <v>511735</v>
      </c>
      <c r="J257" s="87">
        <v>20717</v>
      </c>
      <c r="K257" s="24" t="s">
        <v>32</v>
      </c>
      <c r="L257" s="106"/>
      <c r="M257" s="108" t="s">
        <v>569</v>
      </c>
      <c r="N257" s="106">
        <v>6</v>
      </c>
      <c r="O257" s="107"/>
      <c r="P257" s="27">
        <v>12.62</v>
      </c>
      <c r="Q257" s="28">
        <f>data[[#This Row],[Costo Producto
Proveedor ($/Unid)]]*data[[#This Row],[Cantidad]]</f>
        <v>0</v>
      </c>
      <c r="R257" s="28">
        <f>data[[#This Row],[Cantidad]]*data[[#This Row],[Precio de Venta Cliente ($/Unid)]]</f>
        <v>75.72</v>
      </c>
      <c r="S257" s="29"/>
      <c r="T257" s="106" t="s">
        <v>22</v>
      </c>
      <c r="U257" s="106"/>
      <c r="V257" s="30" t="s">
        <v>42</v>
      </c>
      <c r="W257" s="32" t="s">
        <v>42</v>
      </c>
      <c r="X257" s="106" t="s">
        <v>23</v>
      </c>
      <c r="Y257" s="106" t="s">
        <v>23</v>
      </c>
      <c r="Z257" s="106" t="s">
        <v>504</v>
      </c>
      <c r="AA257" s="106"/>
    </row>
    <row r="258" spans="2:27" x14ac:dyDescent="0.25">
      <c r="B258" s="174"/>
      <c r="C258" s="174" t="str">
        <f>TEXT(data[[#This Row],[Fecha de Envío
Cotización]],"MMMM")</f>
        <v>marzo</v>
      </c>
      <c r="D258" s="174">
        <v>44281</v>
      </c>
      <c r="E258" s="174" t="str">
        <f>IF(data[[#This Row],[Estatus de 
Cotización]]="PERDIDO","N/A","")</f>
        <v>N/A</v>
      </c>
      <c r="F258" s="174"/>
      <c r="G258" s="109"/>
      <c r="H258" s="174"/>
      <c r="I258" s="86">
        <v>511736</v>
      </c>
      <c r="J258" s="87">
        <v>20717</v>
      </c>
      <c r="K258" s="24" t="s">
        <v>32</v>
      </c>
      <c r="L258" s="106"/>
      <c r="M258" s="108" t="s">
        <v>570</v>
      </c>
      <c r="N258" s="106">
        <v>6</v>
      </c>
      <c r="O258" s="107"/>
      <c r="P258" s="27">
        <v>18.88</v>
      </c>
      <c r="Q258" s="28">
        <f>data[[#This Row],[Costo Producto
Proveedor ($/Unid)]]*data[[#This Row],[Cantidad]]</f>
        <v>0</v>
      </c>
      <c r="R258" s="28">
        <f>data[[#This Row],[Cantidad]]*data[[#This Row],[Precio de Venta Cliente ($/Unid)]]</f>
        <v>113.28</v>
      </c>
      <c r="S258" s="29"/>
      <c r="T258" s="106" t="s">
        <v>22</v>
      </c>
      <c r="U258" s="106"/>
      <c r="V258" s="30" t="s">
        <v>42</v>
      </c>
      <c r="W258" s="32" t="s">
        <v>42</v>
      </c>
      <c r="X258" s="106" t="s">
        <v>23</v>
      </c>
      <c r="Y258" s="106" t="s">
        <v>23</v>
      </c>
      <c r="Z258" s="106" t="s">
        <v>504</v>
      </c>
      <c r="AA258" s="106"/>
    </row>
    <row r="259" spans="2:27" x14ac:dyDescent="0.25">
      <c r="B259" s="174"/>
      <c r="C259" s="174" t="str">
        <f>TEXT(data[[#This Row],[Fecha de Envío
Cotización]],"MMMM")</f>
        <v>marzo</v>
      </c>
      <c r="D259" s="174">
        <v>44281</v>
      </c>
      <c r="E259" s="174" t="str">
        <f>IF(data[[#This Row],[Estatus de 
Cotización]]="PERDIDO","N/A","")</f>
        <v>N/A</v>
      </c>
      <c r="F259" s="174"/>
      <c r="G259" s="109"/>
      <c r="H259" s="174"/>
      <c r="I259" s="86">
        <v>511737</v>
      </c>
      <c r="J259" s="87">
        <v>20717</v>
      </c>
      <c r="K259" s="24" t="s">
        <v>32</v>
      </c>
      <c r="L259" s="106"/>
      <c r="M259" s="108" t="s">
        <v>571</v>
      </c>
      <c r="N259" s="106">
        <v>100</v>
      </c>
      <c r="O259" s="107"/>
      <c r="P259" s="27">
        <v>8.91</v>
      </c>
      <c r="Q259" s="28">
        <f>data[[#This Row],[Costo Producto
Proveedor ($/Unid)]]*data[[#This Row],[Cantidad]]</f>
        <v>0</v>
      </c>
      <c r="R259" s="28">
        <f>data[[#This Row],[Cantidad]]*data[[#This Row],[Precio de Venta Cliente ($/Unid)]]</f>
        <v>891</v>
      </c>
      <c r="S259" s="29"/>
      <c r="T259" s="106" t="s">
        <v>22</v>
      </c>
      <c r="U259" s="106"/>
      <c r="V259" s="30" t="s">
        <v>42</v>
      </c>
      <c r="W259" s="32" t="s">
        <v>42</v>
      </c>
      <c r="X259" s="106" t="s">
        <v>23</v>
      </c>
      <c r="Y259" s="106" t="s">
        <v>23</v>
      </c>
      <c r="Z259" s="106" t="s">
        <v>504</v>
      </c>
      <c r="AA259" s="106"/>
    </row>
    <row r="260" spans="2:27" x14ac:dyDescent="0.25">
      <c r="B260" s="174"/>
      <c r="C260" s="174" t="str">
        <f>TEXT(data[[#This Row],[Fecha de Envío
Cotización]],"MMMM")</f>
        <v>marzo</v>
      </c>
      <c r="D260" s="174">
        <v>44281</v>
      </c>
      <c r="E260" s="174" t="str">
        <f>IF(data[[#This Row],[Estatus de 
Cotización]]="PERDIDO","N/A","")</f>
        <v>N/A</v>
      </c>
      <c r="F260" s="174"/>
      <c r="G260" s="109"/>
      <c r="H260" s="174"/>
      <c r="I260" s="86">
        <v>511738</v>
      </c>
      <c r="J260" s="87">
        <v>20717</v>
      </c>
      <c r="K260" s="24" t="s">
        <v>32</v>
      </c>
      <c r="L260" s="106"/>
      <c r="M260" s="108" t="s">
        <v>572</v>
      </c>
      <c r="N260" s="106">
        <v>100</v>
      </c>
      <c r="O260" s="107"/>
      <c r="P260" s="27">
        <v>6.18</v>
      </c>
      <c r="Q260" s="28">
        <f>data[[#This Row],[Costo Producto
Proveedor ($/Unid)]]*data[[#This Row],[Cantidad]]</f>
        <v>0</v>
      </c>
      <c r="R260" s="28">
        <f>data[[#This Row],[Cantidad]]*data[[#This Row],[Precio de Venta Cliente ($/Unid)]]</f>
        <v>618</v>
      </c>
      <c r="S260" s="29"/>
      <c r="T260" s="106" t="s">
        <v>22</v>
      </c>
      <c r="U260" s="106"/>
      <c r="V260" s="30" t="s">
        <v>42</v>
      </c>
      <c r="W260" s="32" t="s">
        <v>42</v>
      </c>
      <c r="X260" s="106" t="s">
        <v>23</v>
      </c>
      <c r="Y260" s="106" t="s">
        <v>23</v>
      </c>
      <c r="Z260" s="106" t="s">
        <v>504</v>
      </c>
      <c r="AA260" s="106"/>
    </row>
    <row r="261" spans="2:27" x14ac:dyDescent="0.25">
      <c r="B261" s="174"/>
      <c r="C261" s="174" t="str">
        <f>TEXT(data[[#This Row],[Fecha de Envío
Cotización]],"MMMM")</f>
        <v>marzo</v>
      </c>
      <c r="D261" s="174">
        <v>44281</v>
      </c>
      <c r="E261" s="174" t="str">
        <f>IF(data[[#This Row],[Estatus de 
Cotización]]="PERDIDO","N/A","")</f>
        <v>N/A</v>
      </c>
      <c r="F261" s="174"/>
      <c r="G261" s="109"/>
      <c r="H261" s="174"/>
      <c r="I261" s="86">
        <v>511739</v>
      </c>
      <c r="J261" s="87">
        <v>20717</v>
      </c>
      <c r="K261" s="24" t="s">
        <v>32</v>
      </c>
      <c r="L261" s="106"/>
      <c r="M261" s="108" t="s">
        <v>573</v>
      </c>
      <c r="N261" s="106">
        <v>24</v>
      </c>
      <c r="O261" s="107"/>
      <c r="P261" s="27">
        <v>14.86</v>
      </c>
      <c r="Q261" s="28">
        <f>data[[#This Row],[Costo Producto
Proveedor ($/Unid)]]*data[[#This Row],[Cantidad]]</f>
        <v>0</v>
      </c>
      <c r="R261" s="28">
        <f>data[[#This Row],[Cantidad]]*data[[#This Row],[Precio de Venta Cliente ($/Unid)]]</f>
        <v>356.64</v>
      </c>
      <c r="S261" s="29"/>
      <c r="T261" s="106" t="s">
        <v>22</v>
      </c>
      <c r="U261" s="106"/>
      <c r="V261" s="30" t="s">
        <v>42</v>
      </c>
      <c r="W261" s="32" t="s">
        <v>42</v>
      </c>
      <c r="X261" s="106" t="s">
        <v>23</v>
      </c>
      <c r="Y261" s="106" t="s">
        <v>23</v>
      </c>
      <c r="Z261" s="106" t="s">
        <v>504</v>
      </c>
      <c r="AA261" s="106"/>
    </row>
    <row r="262" spans="2:27" x14ac:dyDescent="0.25">
      <c r="B262" s="174"/>
      <c r="C262" s="174" t="str">
        <f>TEXT(data[[#This Row],[Fecha de Envío
Cotización]],"MMMM")</f>
        <v>marzo</v>
      </c>
      <c r="D262" s="174">
        <v>44281</v>
      </c>
      <c r="E262" s="174">
        <v>44302</v>
      </c>
      <c r="F262" s="174">
        <v>44312</v>
      </c>
      <c r="G262" s="109">
        <v>9505</v>
      </c>
      <c r="H262" s="174">
        <v>44302</v>
      </c>
      <c r="I262" s="86">
        <v>511720</v>
      </c>
      <c r="J262" s="87">
        <v>20716</v>
      </c>
      <c r="K262" s="24" t="s">
        <v>534</v>
      </c>
      <c r="L262" s="106"/>
      <c r="M262" s="108" t="s">
        <v>537</v>
      </c>
      <c r="N262" s="106">
        <v>3</v>
      </c>
      <c r="O262" s="107"/>
      <c r="P262" s="27">
        <v>2.8</v>
      </c>
      <c r="Q262" s="28">
        <f>data[[#This Row],[Costo Producto
Proveedor ($/Unid)]]*data[[#This Row],[Cantidad]]</f>
        <v>0</v>
      </c>
      <c r="R262" s="120">
        <f>data[[#This Row],[Cantidad]]*data[[#This Row],[Precio de Venta Cliente ($/Unid)]]</f>
        <v>8.3999999999999986</v>
      </c>
      <c r="S262" s="29"/>
      <c r="T262" s="106" t="s">
        <v>22</v>
      </c>
      <c r="U262" s="106"/>
      <c r="V262" s="30" t="s">
        <v>44</v>
      </c>
      <c r="W262" s="32" t="s">
        <v>44</v>
      </c>
      <c r="X262" s="106" t="s">
        <v>503</v>
      </c>
      <c r="Y262" s="106" t="s">
        <v>47</v>
      </c>
      <c r="Z262" s="106" t="s">
        <v>504</v>
      </c>
      <c r="AA262" s="106"/>
    </row>
    <row r="263" spans="2:27" x14ac:dyDescent="0.25">
      <c r="B263" s="174"/>
      <c r="C263" s="174" t="str">
        <f>TEXT(data[[#This Row],[Fecha de Envío
Cotización]],"MMMM")</f>
        <v>marzo</v>
      </c>
      <c r="D263" s="174">
        <v>44281</v>
      </c>
      <c r="E263" s="174">
        <v>44302</v>
      </c>
      <c r="F263" s="174">
        <v>44356</v>
      </c>
      <c r="G263" s="109">
        <v>9505</v>
      </c>
      <c r="H263" s="174">
        <v>44302</v>
      </c>
      <c r="I263" s="86">
        <v>511721</v>
      </c>
      <c r="J263" s="87">
        <v>20716</v>
      </c>
      <c r="K263" s="24" t="s">
        <v>534</v>
      </c>
      <c r="L263" s="106"/>
      <c r="M263" s="108" t="s">
        <v>538</v>
      </c>
      <c r="N263" s="106">
        <v>1</v>
      </c>
      <c r="O263" s="107"/>
      <c r="P263" s="27">
        <v>32.03</v>
      </c>
      <c r="Q263" s="28">
        <f>data[[#This Row],[Costo Producto
Proveedor ($/Unid)]]*data[[#This Row],[Cantidad]]</f>
        <v>0</v>
      </c>
      <c r="R263" s="120">
        <f>data[[#This Row],[Cantidad]]*data[[#This Row],[Precio de Venta Cliente ($/Unid)]]</f>
        <v>32.03</v>
      </c>
      <c r="S263" s="29"/>
      <c r="T263" s="106" t="s">
        <v>22</v>
      </c>
      <c r="U263" s="106"/>
      <c r="V263" s="30" t="s">
        <v>44</v>
      </c>
      <c r="W263" s="32" t="s">
        <v>44</v>
      </c>
      <c r="X263" s="106" t="s">
        <v>503</v>
      </c>
      <c r="Y263" s="106" t="s">
        <v>47</v>
      </c>
      <c r="Z263" s="106" t="s">
        <v>504</v>
      </c>
      <c r="AA263" s="106"/>
    </row>
    <row r="264" spans="2:27" x14ac:dyDescent="0.25">
      <c r="B264" s="174"/>
      <c r="C264" s="174" t="str">
        <f>TEXT(data[[#This Row],[Fecha de Envío
Cotización]],"MMMM")</f>
        <v>marzo</v>
      </c>
      <c r="D264" s="174">
        <v>44281</v>
      </c>
      <c r="E264" s="23">
        <v>44302</v>
      </c>
      <c r="F264" s="174">
        <v>44312</v>
      </c>
      <c r="G264" s="109">
        <v>9505</v>
      </c>
      <c r="H264" s="174">
        <v>44302</v>
      </c>
      <c r="I264" s="86">
        <v>511722</v>
      </c>
      <c r="J264" s="87">
        <v>20716</v>
      </c>
      <c r="K264" s="24" t="s">
        <v>534</v>
      </c>
      <c r="L264" s="106"/>
      <c r="M264" s="108" t="s">
        <v>539</v>
      </c>
      <c r="N264" s="106">
        <v>1</v>
      </c>
      <c r="O264" s="107"/>
      <c r="P264" s="27">
        <v>111.85</v>
      </c>
      <c r="Q264" s="28">
        <f>data[[#This Row],[Costo Producto
Proveedor ($/Unid)]]*data[[#This Row],[Cantidad]]</f>
        <v>0</v>
      </c>
      <c r="R264" s="120">
        <f>data[[#This Row],[Cantidad]]*data[[#This Row],[Precio de Venta Cliente ($/Unid)]]</f>
        <v>111.85</v>
      </c>
      <c r="S264" s="29"/>
      <c r="T264" s="106" t="s">
        <v>22</v>
      </c>
      <c r="U264" s="106"/>
      <c r="V264" s="30" t="s">
        <v>44</v>
      </c>
      <c r="W264" s="32" t="s">
        <v>44</v>
      </c>
      <c r="X264" s="106" t="s">
        <v>503</v>
      </c>
      <c r="Y264" s="106" t="s">
        <v>47</v>
      </c>
      <c r="Z264" s="106" t="s">
        <v>504</v>
      </c>
      <c r="AA264" s="106"/>
    </row>
    <row r="265" spans="2:27" x14ac:dyDescent="0.25">
      <c r="B265" s="23"/>
      <c r="C265" s="174" t="str">
        <f>TEXT(data[[#This Row],[Fecha de Envío
Cotización]],"MMMM")</f>
        <v>marzo</v>
      </c>
      <c r="D265" s="23">
        <v>44281</v>
      </c>
      <c r="E265" s="23">
        <v>44302</v>
      </c>
      <c r="F265" s="23">
        <v>44356</v>
      </c>
      <c r="G265" s="109">
        <v>9505</v>
      </c>
      <c r="H265" s="174">
        <v>44302</v>
      </c>
      <c r="I265" s="86">
        <v>511723</v>
      </c>
      <c r="J265" s="87">
        <v>20716</v>
      </c>
      <c r="K265" s="24" t="s">
        <v>534</v>
      </c>
      <c r="L265" s="22"/>
      <c r="M265" s="108" t="s">
        <v>540</v>
      </c>
      <c r="N265" s="22">
        <v>1</v>
      </c>
      <c r="O265" s="26"/>
      <c r="P265" s="27">
        <v>93.21</v>
      </c>
      <c r="Q265" s="28">
        <f>data[[#This Row],[Costo Producto
Proveedor ($/Unid)]]*data[[#This Row],[Cantidad]]</f>
        <v>0</v>
      </c>
      <c r="R265" s="120">
        <f>data[[#This Row],[Cantidad]]*data[[#This Row],[Precio de Venta Cliente ($/Unid)]]</f>
        <v>93.21</v>
      </c>
      <c r="S265" s="29"/>
      <c r="T265" s="106" t="s">
        <v>22</v>
      </c>
      <c r="U265" s="106"/>
      <c r="V265" s="30" t="s">
        <v>44</v>
      </c>
      <c r="W265" s="32" t="s">
        <v>44</v>
      </c>
      <c r="X265" s="106" t="s">
        <v>503</v>
      </c>
      <c r="Y265" s="106" t="s">
        <v>47</v>
      </c>
      <c r="Z265" s="22" t="s">
        <v>504</v>
      </c>
      <c r="AA265" s="106"/>
    </row>
    <row r="266" spans="2:27" s="50" customFormat="1" x14ac:dyDescent="0.25">
      <c r="B266" s="56"/>
      <c r="C266" s="174" t="str">
        <f>TEXT(data[[#This Row],[Fecha de Envío
Cotización]],"MMMM")</f>
        <v>marzo</v>
      </c>
      <c r="D266" s="56">
        <v>44281</v>
      </c>
      <c r="E266" s="56">
        <v>44302</v>
      </c>
      <c r="F266" s="56">
        <v>44312</v>
      </c>
      <c r="G266" s="109">
        <v>9505</v>
      </c>
      <c r="H266" s="174">
        <v>44302</v>
      </c>
      <c r="I266" s="86">
        <v>511724</v>
      </c>
      <c r="J266" s="87">
        <v>20716</v>
      </c>
      <c r="K266" s="24" t="s">
        <v>534</v>
      </c>
      <c r="L266" s="51"/>
      <c r="M266" s="53" t="s">
        <v>541</v>
      </c>
      <c r="N266" s="51">
        <v>3</v>
      </c>
      <c r="O266" s="52"/>
      <c r="P266" s="27">
        <v>3.81</v>
      </c>
      <c r="Q266" s="28">
        <f>data[[#This Row],[Costo Producto
Proveedor ($/Unid)]]*data[[#This Row],[Cantidad]]</f>
        <v>0</v>
      </c>
      <c r="R266" s="120">
        <f>data[[#This Row],[Cantidad]]*data[[#This Row],[Precio de Venta Cliente ($/Unid)]]</f>
        <v>11.43</v>
      </c>
      <c r="S266" s="29"/>
      <c r="T266" s="106" t="s">
        <v>22</v>
      </c>
      <c r="U266" s="106"/>
      <c r="V266" s="30" t="s">
        <v>44</v>
      </c>
      <c r="W266" s="32" t="s">
        <v>44</v>
      </c>
      <c r="X266" s="106" t="s">
        <v>503</v>
      </c>
      <c r="Y266" s="106" t="s">
        <v>47</v>
      </c>
      <c r="Z266" s="51" t="s">
        <v>504</v>
      </c>
      <c r="AA266" s="106"/>
    </row>
    <row r="267" spans="2:27" s="50" customFormat="1" x14ac:dyDescent="0.25">
      <c r="B267" s="56"/>
      <c r="C267" s="174" t="str">
        <f>TEXT(data[[#This Row],[Fecha de Envío
Cotización]],"MMMM")</f>
        <v>marzo</v>
      </c>
      <c r="D267" s="84">
        <v>44281</v>
      </c>
      <c r="E267" s="56">
        <v>44302</v>
      </c>
      <c r="F267" s="56">
        <v>44312</v>
      </c>
      <c r="G267" s="109">
        <v>9505</v>
      </c>
      <c r="H267" s="174">
        <v>44302</v>
      </c>
      <c r="I267" s="86">
        <v>511725</v>
      </c>
      <c r="J267" s="87">
        <v>20716</v>
      </c>
      <c r="K267" s="24" t="s">
        <v>534</v>
      </c>
      <c r="L267" s="51"/>
      <c r="M267" s="108" t="s">
        <v>542</v>
      </c>
      <c r="N267" s="51">
        <v>1</v>
      </c>
      <c r="O267" s="52"/>
      <c r="P267" s="27">
        <v>14.72</v>
      </c>
      <c r="Q267" s="28">
        <f>data[[#This Row],[Costo Producto
Proveedor ($/Unid)]]*data[[#This Row],[Cantidad]]</f>
        <v>0</v>
      </c>
      <c r="R267" s="120">
        <f>data[[#This Row],[Cantidad]]*data[[#This Row],[Precio de Venta Cliente ($/Unid)]]</f>
        <v>14.72</v>
      </c>
      <c r="S267" s="29"/>
      <c r="T267" s="106" t="s">
        <v>22</v>
      </c>
      <c r="U267" s="106"/>
      <c r="V267" s="30" t="s">
        <v>44</v>
      </c>
      <c r="W267" s="32" t="s">
        <v>44</v>
      </c>
      <c r="X267" s="106" t="s">
        <v>503</v>
      </c>
      <c r="Y267" s="106" t="s">
        <v>47</v>
      </c>
      <c r="Z267" s="51" t="s">
        <v>504</v>
      </c>
      <c r="AA267" s="106"/>
    </row>
    <row r="268" spans="2:27" s="50" customFormat="1" x14ac:dyDescent="0.25">
      <c r="B268" s="174"/>
      <c r="C268" s="174" t="str">
        <f>TEXT(data[[#This Row],[Fecha de Envío
Cotización]],"MMMM")</f>
        <v>marzo</v>
      </c>
      <c r="D268" s="174">
        <v>44281</v>
      </c>
      <c r="E268" s="174">
        <v>44302</v>
      </c>
      <c r="F268" s="174">
        <v>44356</v>
      </c>
      <c r="G268" s="109">
        <v>9505</v>
      </c>
      <c r="H268" s="174">
        <v>44302</v>
      </c>
      <c r="I268" s="86">
        <v>511726</v>
      </c>
      <c r="J268" s="87">
        <v>20716</v>
      </c>
      <c r="K268" s="24" t="s">
        <v>534</v>
      </c>
      <c r="L268" s="106"/>
      <c r="M268" s="108" t="s">
        <v>543</v>
      </c>
      <c r="N268" s="106">
        <v>1</v>
      </c>
      <c r="O268" s="107"/>
      <c r="P268" s="27">
        <v>8.7200000000000006</v>
      </c>
      <c r="Q268" s="28">
        <f>data[[#This Row],[Costo Producto
Proveedor ($/Unid)]]*data[[#This Row],[Cantidad]]</f>
        <v>0</v>
      </c>
      <c r="R268" s="120">
        <f>data[[#This Row],[Cantidad]]*data[[#This Row],[Precio de Venta Cliente ($/Unid)]]</f>
        <v>8.7200000000000006</v>
      </c>
      <c r="S268" s="29"/>
      <c r="T268" s="106" t="s">
        <v>22</v>
      </c>
      <c r="U268" s="106"/>
      <c r="V268" s="30" t="s">
        <v>44</v>
      </c>
      <c r="W268" s="32" t="s">
        <v>44</v>
      </c>
      <c r="X268" s="106" t="s">
        <v>503</v>
      </c>
      <c r="Y268" s="106" t="s">
        <v>47</v>
      </c>
      <c r="Z268" s="106" t="s">
        <v>504</v>
      </c>
      <c r="AA268" s="106"/>
    </row>
    <row r="269" spans="2:27" s="50" customFormat="1" x14ac:dyDescent="0.25">
      <c r="B269" s="174"/>
      <c r="C269" s="174" t="str">
        <f>TEXT(data[[#This Row],[Fecha de Envío
Cotización]],"MMMM")</f>
        <v>marzo</v>
      </c>
      <c r="D269" s="174">
        <v>44281</v>
      </c>
      <c r="E269" s="84">
        <v>44302</v>
      </c>
      <c r="F269" s="174">
        <v>44312</v>
      </c>
      <c r="G269" s="109">
        <v>9505</v>
      </c>
      <c r="H269" s="174">
        <v>44302</v>
      </c>
      <c r="I269" s="86">
        <v>511727</v>
      </c>
      <c r="J269" s="87">
        <v>20716</v>
      </c>
      <c r="K269" s="24" t="s">
        <v>534</v>
      </c>
      <c r="L269" s="106"/>
      <c r="M269" s="108" t="s">
        <v>544</v>
      </c>
      <c r="N269" s="106">
        <v>1</v>
      </c>
      <c r="O269" s="107"/>
      <c r="P269" s="27">
        <v>102.89</v>
      </c>
      <c r="Q269" s="28">
        <f>data[[#This Row],[Costo Producto
Proveedor ($/Unid)]]*data[[#This Row],[Cantidad]]</f>
        <v>0</v>
      </c>
      <c r="R269" s="120">
        <f>data[[#This Row],[Cantidad]]*data[[#This Row],[Precio de Venta Cliente ($/Unid)]]</f>
        <v>102.89</v>
      </c>
      <c r="S269" s="29"/>
      <c r="T269" s="106" t="s">
        <v>22</v>
      </c>
      <c r="U269" s="106"/>
      <c r="V269" s="30" t="s">
        <v>44</v>
      </c>
      <c r="W269" s="32" t="s">
        <v>44</v>
      </c>
      <c r="X269" s="106" t="s">
        <v>503</v>
      </c>
      <c r="Y269" s="106" t="s">
        <v>47</v>
      </c>
      <c r="Z269" s="106" t="s">
        <v>504</v>
      </c>
      <c r="AA269" s="106"/>
    </row>
    <row r="270" spans="2:27" s="50" customFormat="1" x14ac:dyDescent="0.25">
      <c r="B270" s="84"/>
      <c r="C270" s="174" t="str">
        <f>TEXT(data[[#This Row],[Fecha de Envío
Cotización]],"MMMM")</f>
        <v>marzo</v>
      </c>
      <c r="D270" s="84">
        <v>44281</v>
      </c>
      <c r="E270" s="84">
        <v>44302</v>
      </c>
      <c r="F270" s="84">
        <v>44312</v>
      </c>
      <c r="G270" s="109">
        <v>9505</v>
      </c>
      <c r="H270" s="174">
        <v>44302</v>
      </c>
      <c r="I270" s="86">
        <v>511728</v>
      </c>
      <c r="J270" s="87">
        <v>20716</v>
      </c>
      <c r="K270" s="24" t="s">
        <v>534</v>
      </c>
      <c r="L270" s="51"/>
      <c r="M270" s="53" t="s">
        <v>545</v>
      </c>
      <c r="N270" s="51">
        <v>10</v>
      </c>
      <c r="O270" s="52"/>
      <c r="P270" s="27">
        <v>3.15</v>
      </c>
      <c r="Q270" s="28">
        <f>data[[#This Row],[Costo Producto
Proveedor ($/Unid)]]*data[[#This Row],[Cantidad]]</f>
        <v>0</v>
      </c>
      <c r="R270" s="120">
        <f>data[[#This Row],[Cantidad]]*data[[#This Row],[Precio de Venta Cliente ($/Unid)]]</f>
        <v>31.5</v>
      </c>
      <c r="S270" s="29"/>
      <c r="T270" s="106" t="s">
        <v>22</v>
      </c>
      <c r="U270" s="106"/>
      <c r="V270" s="30" t="s">
        <v>44</v>
      </c>
      <c r="W270" s="32" t="s">
        <v>44</v>
      </c>
      <c r="X270" s="106" t="s">
        <v>503</v>
      </c>
      <c r="Y270" s="106" t="s">
        <v>47</v>
      </c>
      <c r="Z270" s="51" t="s">
        <v>504</v>
      </c>
      <c r="AA270" s="106"/>
    </row>
    <row r="271" spans="2:27" s="50" customFormat="1" x14ac:dyDescent="0.25">
      <c r="B271" s="84"/>
      <c r="C271" s="174" t="str">
        <f>TEXT(data[[#This Row],[Fecha de Envío
Cotización]],"MMMM")</f>
        <v>marzo</v>
      </c>
      <c r="D271" s="84">
        <v>44281</v>
      </c>
      <c r="E271" s="84">
        <v>44302</v>
      </c>
      <c r="F271" s="84">
        <v>44312</v>
      </c>
      <c r="G271" s="109">
        <v>9505</v>
      </c>
      <c r="H271" s="174">
        <v>44302</v>
      </c>
      <c r="I271" s="86">
        <v>511729</v>
      </c>
      <c r="J271" s="87">
        <v>20716</v>
      </c>
      <c r="K271" s="24" t="s">
        <v>534</v>
      </c>
      <c r="L271" s="51"/>
      <c r="M271" s="108" t="s">
        <v>546</v>
      </c>
      <c r="N271" s="51">
        <v>3</v>
      </c>
      <c r="O271" s="52"/>
      <c r="P271" s="27">
        <v>3.15</v>
      </c>
      <c r="Q271" s="28">
        <f>data[[#This Row],[Costo Producto
Proveedor ($/Unid)]]*data[[#This Row],[Cantidad]]</f>
        <v>0</v>
      </c>
      <c r="R271" s="120">
        <f>data[[#This Row],[Cantidad]]*data[[#This Row],[Precio de Venta Cliente ($/Unid)]]</f>
        <v>9.4499999999999993</v>
      </c>
      <c r="S271" s="29"/>
      <c r="T271" s="106" t="s">
        <v>22</v>
      </c>
      <c r="U271" s="106"/>
      <c r="V271" s="30" t="s">
        <v>44</v>
      </c>
      <c r="W271" s="32" t="s">
        <v>44</v>
      </c>
      <c r="X271" s="106" t="s">
        <v>503</v>
      </c>
      <c r="Y271" s="106" t="s">
        <v>47</v>
      </c>
      <c r="Z271" s="51" t="s">
        <v>504</v>
      </c>
      <c r="AA271" s="106"/>
    </row>
    <row r="272" spans="2:27" s="50" customFormat="1" x14ac:dyDescent="0.25">
      <c r="B272" s="84"/>
      <c r="C272" s="174" t="str">
        <f>TEXT(data[[#This Row],[Fecha de Envío
Cotización]],"MMMM")</f>
        <v>marzo</v>
      </c>
      <c r="D272" s="84">
        <v>44281</v>
      </c>
      <c r="E272" s="84">
        <v>44302</v>
      </c>
      <c r="F272" s="84">
        <v>44356</v>
      </c>
      <c r="G272" s="109">
        <v>9505</v>
      </c>
      <c r="H272" s="174">
        <v>44302</v>
      </c>
      <c r="I272" s="86">
        <v>511730</v>
      </c>
      <c r="J272" s="87">
        <v>20716</v>
      </c>
      <c r="K272" s="24" t="s">
        <v>534</v>
      </c>
      <c r="L272" s="51"/>
      <c r="M272" s="108" t="s">
        <v>547</v>
      </c>
      <c r="N272" s="51">
        <v>3</v>
      </c>
      <c r="O272" s="52"/>
      <c r="P272" s="27">
        <v>34.619999999999997</v>
      </c>
      <c r="Q272" s="28">
        <f>data[[#This Row],[Costo Producto
Proveedor ($/Unid)]]*data[[#This Row],[Cantidad]]</f>
        <v>0</v>
      </c>
      <c r="R272" s="120">
        <f>data[[#This Row],[Cantidad]]*data[[#This Row],[Precio de Venta Cliente ($/Unid)]]</f>
        <v>103.85999999999999</v>
      </c>
      <c r="S272" s="29"/>
      <c r="T272" s="106" t="s">
        <v>22</v>
      </c>
      <c r="U272" s="106"/>
      <c r="V272" s="30" t="s">
        <v>44</v>
      </c>
      <c r="W272" s="32" t="s">
        <v>44</v>
      </c>
      <c r="X272" s="106" t="s">
        <v>503</v>
      </c>
      <c r="Y272" s="106" t="s">
        <v>47</v>
      </c>
      <c r="Z272" s="51" t="s">
        <v>504</v>
      </c>
      <c r="AA272" s="106"/>
    </row>
    <row r="273" spans="2:27" s="50" customFormat="1" x14ac:dyDescent="0.25">
      <c r="B273" s="84"/>
      <c r="C273" s="174" t="str">
        <f>TEXT(data[[#This Row],[Fecha de Envío
Cotización]],"MMMM")</f>
        <v>marzo</v>
      </c>
      <c r="D273" s="84">
        <v>44285</v>
      </c>
      <c r="E273" s="84" t="str">
        <f>IF(data[[#This Row],[Estatus de 
Cotización]]="PERDIDO","N/A","")</f>
        <v>N/A</v>
      </c>
      <c r="F273" s="84"/>
      <c r="G273" s="109"/>
      <c r="H273" s="84"/>
      <c r="I273" s="86">
        <v>511763</v>
      </c>
      <c r="J273" s="87">
        <v>30850</v>
      </c>
      <c r="K273" s="24" t="s">
        <v>133</v>
      </c>
      <c r="L273" s="51"/>
      <c r="M273" s="105" t="s">
        <v>574</v>
      </c>
      <c r="N273" s="51">
        <v>2</v>
      </c>
      <c r="O273" s="52"/>
      <c r="P273" s="27">
        <v>16.59</v>
      </c>
      <c r="Q273" s="28">
        <f>data[[#This Row],[Costo Producto
Proveedor ($/Unid)]]*data[[#This Row],[Cantidad]]</f>
        <v>0</v>
      </c>
      <c r="R273" s="28">
        <f>data[[#This Row],[Cantidad]]*data[[#This Row],[Precio de Venta Cliente ($/Unid)]]</f>
        <v>33.18</v>
      </c>
      <c r="S273" s="29"/>
      <c r="T273" s="106" t="s">
        <v>16</v>
      </c>
      <c r="U273" s="106"/>
      <c r="V273" s="30" t="s">
        <v>42</v>
      </c>
      <c r="W273" s="32" t="s">
        <v>42</v>
      </c>
      <c r="X273" s="106" t="s">
        <v>23</v>
      </c>
      <c r="Y273" s="106" t="s">
        <v>23</v>
      </c>
      <c r="Z273" s="51" t="s">
        <v>504</v>
      </c>
      <c r="AA273" s="106"/>
    </row>
    <row r="274" spans="2:27" s="50" customFormat="1" x14ac:dyDescent="0.25">
      <c r="B274" s="84"/>
      <c r="C274" s="174" t="str">
        <f>TEXT(data[[#This Row],[Fecha de Envío
Cotización]],"MMMM")</f>
        <v>marzo</v>
      </c>
      <c r="D274" s="99">
        <v>44285</v>
      </c>
      <c r="E274" s="84" t="str">
        <f>IF(data[[#This Row],[Estatus de 
Cotización]]="PERDIDO","N/A","")</f>
        <v>N/A</v>
      </c>
      <c r="F274" s="84"/>
      <c r="G274" s="109"/>
      <c r="H274" s="84"/>
      <c r="I274" s="86">
        <v>511764</v>
      </c>
      <c r="J274" s="87">
        <v>30850</v>
      </c>
      <c r="K274" s="24" t="s">
        <v>133</v>
      </c>
      <c r="L274" s="51"/>
      <c r="M274" s="105" t="s">
        <v>575</v>
      </c>
      <c r="N274" s="51">
        <v>2</v>
      </c>
      <c r="O274" s="52"/>
      <c r="P274" s="27">
        <v>188.74</v>
      </c>
      <c r="Q274" s="28">
        <f>data[[#This Row],[Costo Producto
Proveedor ($/Unid)]]*data[[#This Row],[Cantidad]]</f>
        <v>0</v>
      </c>
      <c r="R274" s="28">
        <f>data[[#This Row],[Cantidad]]*data[[#This Row],[Precio de Venta Cliente ($/Unid)]]</f>
        <v>377.48</v>
      </c>
      <c r="S274" s="29"/>
      <c r="T274" s="106" t="s">
        <v>16</v>
      </c>
      <c r="U274" s="106"/>
      <c r="V274" s="30" t="s">
        <v>42</v>
      </c>
      <c r="W274" s="32" t="s">
        <v>42</v>
      </c>
      <c r="X274" s="106" t="s">
        <v>23</v>
      </c>
      <c r="Y274" s="106" t="s">
        <v>23</v>
      </c>
      <c r="Z274" s="51" t="s">
        <v>504</v>
      </c>
      <c r="AA274" s="106"/>
    </row>
    <row r="275" spans="2:27" s="50" customFormat="1" x14ac:dyDescent="0.25">
      <c r="B275" s="84"/>
      <c r="C275" s="174" t="str">
        <f>TEXT(data[[#This Row],[Fecha de Envío
Cotización]],"MMMM")</f>
        <v>marzo</v>
      </c>
      <c r="D275" s="84">
        <v>44285</v>
      </c>
      <c r="E275" s="84" t="str">
        <f>IF(data[[#This Row],[Estatus de 
Cotización]]="PERDIDO","N/A","")</f>
        <v>N/A</v>
      </c>
      <c r="F275" s="84"/>
      <c r="G275" s="109"/>
      <c r="H275" s="84"/>
      <c r="I275" s="86">
        <v>511765</v>
      </c>
      <c r="J275" s="87">
        <v>30850</v>
      </c>
      <c r="K275" s="24" t="s">
        <v>133</v>
      </c>
      <c r="L275" s="51"/>
      <c r="M275" s="105" t="s">
        <v>576</v>
      </c>
      <c r="N275" s="51">
        <v>2</v>
      </c>
      <c r="O275" s="52"/>
      <c r="P275" s="27">
        <v>37.43</v>
      </c>
      <c r="Q275" s="28">
        <f>data[[#This Row],[Costo Producto
Proveedor ($/Unid)]]*data[[#This Row],[Cantidad]]</f>
        <v>0</v>
      </c>
      <c r="R275" s="28">
        <f>data[[#This Row],[Cantidad]]*data[[#This Row],[Precio de Venta Cliente ($/Unid)]]</f>
        <v>74.86</v>
      </c>
      <c r="S275" s="29"/>
      <c r="T275" s="106" t="s">
        <v>16</v>
      </c>
      <c r="U275" s="106"/>
      <c r="V275" s="30" t="s">
        <v>42</v>
      </c>
      <c r="W275" s="32" t="s">
        <v>42</v>
      </c>
      <c r="X275" s="106" t="s">
        <v>23</v>
      </c>
      <c r="Y275" s="106" t="s">
        <v>23</v>
      </c>
      <c r="Z275" s="51" t="s">
        <v>504</v>
      </c>
      <c r="AA275" s="106"/>
    </row>
    <row r="276" spans="2:27" x14ac:dyDescent="0.25">
      <c r="B276" s="23"/>
      <c r="C276" s="174" t="str">
        <f>TEXT(data[[#This Row],[Fecha de Envío
Cotización]],"MMMM")</f>
        <v>marzo</v>
      </c>
      <c r="D276" s="23">
        <v>44285</v>
      </c>
      <c r="E276" s="23" t="str">
        <f>IF(data[[#This Row],[Estatus de 
Cotización]]="PERDIDO","N/A","")</f>
        <v>N/A</v>
      </c>
      <c r="F276" s="23"/>
      <c r="G276" s="109"/>
      <c r="H276" s="23"/>
      <c r="I276" s="86">
        <v>511766</v>
      </c>
      <c r="J276" s="87">
        <v>30850</v>
      </c>
      <c r="K276" s="24" t="s">
        <v>133</v>
      </c>
      <c r="L276" s="22"/>
      <c r="M276" s="105" t="s">
        <v>577</v>
      </c>
      <c r="N276" s="22">
        <v>2</v>
      </c>
      <c r="O276" s="26"/>
      <c r="P276" s="27">
        <v>23.33</v>
      </c>
      <c r="Q276" s="28">
        <f>data[[#This Row],[Costo Producto
Proveedor ($/Unid)]]*data[[#This Row],[Cantidad]]</f>
        <v>0</v>
      </c>
      <c r="R276" s="28">
        <f>data[[#This Row],[Cantidad]]*data[[#This Row],[Precio de Venta Cliente ($/Unid)]]</f>
        <v>46.66</v>
      </c>
      <c r="S276" s="29"/>
      <c r="T276" s="106" t="s">
        <v>16</v>
      </c>
      <c r="U276" s="106"/>
      <c r="V276" s="30" t="s">
        <v>42</v>
      </c>
      <c r="W276" s="32" t="s">
        <v>42</v>
      </c>
      <c r="X276" s="106" t="s">
        <v>23</v>
      </c>
      <c r="Y276" s="106" t="s">
        <v>23</v>
      </c>
      <c r="Z276" s="22" t="s">
        <v>504</v>
      </c>
      <c r="AA276" s="106"/>
    </row>
    <row r="277" spans="2:27" x14ac:dyDescent="0.25">
      <c r="B277" s="23"/>
      <c r="C277" s="174" t="str">
        <f>TEXT(data[[#This Row],[Fecha de Envío
Cotización]],"MMMM")</f>
        <v>marzo</v>
      </c>
      <c r="D277" s="23">
        <v>44285</v>
      </c>
      <c r="E277" s="23" t="str">
        <f>IF(data[[#This Row],[Estatus de 
Cotización]]="PERDIDO","N/A","")</f>
        <v>N/A</v>
      </c>
      <c r="F277" s="23"/>
      <c r="G277" s="109"/>
      <c r="H277" s="23"/>
      <c r="I277" s="86">
        <v>511767</v>
      </c>
      <c r="J277" s="87">
        <v>30850</v>
      </c>
      <c r="K277" s="24" t="s">
        <v>133</v>
      </c>
      <c r="L277" s="22"/>
      <c r="M277" s="105" t="s">
        <v>578</v>
      </c>
      <c r="N277" s="22">
        <v>2</v>
      </c>
      <c r="O277" s="26"/>
      <c r="P277" s="27">
        <v>79.2</v>
      </c>
      <c r="Q277" s="28">
        <f>data[[#This Row],[Costo Producto
Proveedor ($/Unid)]]*data[[#This Row],[Cantidad]]</f>
        <v>0</v>
      </c>
      <c r="R277" s="28">
        <f>data[[#This Row],[Cantidad]]*data[[#This Row],[Precio de Venta Cliente ($/Unid)]]</f>
        <v>158.4</v>
      </c>
      <c r="S277" s="29"/>
      <c r="T277" s="106" t="s">
        <v>16</v>
      </c>
      <c r="U277" s="106"/>
      <c r="V277" s="30" t="s">
        <v>42</v>
      </c>
      <c r="W277" s="32" t="s">
        <v>42</v>
      </c>
      <c r="X277" s="22" t="s">
        <v>23</v>
      </c>
      <c r="Y277" s="22" t="s">
        <v>23</v>
      </c>
      <c r="Z277" s="22" t="s">
        <v>504</v>
      </c>
      <c r="AA277" s="106"/>
    </row>
    <row r="278" spans="2:27" x14ac:dyDescent="0.25">
      <c r="B278" s="23"/>
      <c r="C278" s="174" t="str">
        <f>TEXT(data[[#This Row],[Fecha de Envío
Cotización]],"MMMM")</f>
        <v>marzo</v>
      </c>
      <c r="D278" s="174">
        <v>44285</v>
      </c>
      <c r="E278" s="174" t="str">
        <f>IF(data[[#This Row],[Estatus de 
Cotización]]="PERDIDO","N/A","")</f>
        <v>N/A</v>
      </c>
      <c r="F278" s="23"/>
      <c r="G278" s="109"/>
      <c r="H278" s="23"/>
      <c r="I278" s="86">
        <v>511768</v>
      </c>
      <c r="J278" s="87">
        <v>30850</v>
      </c>
      <c r="K278" s="24" t="s">
        <v>133</v>
      </c>
      <c r="L278" s="22"/>
      <c r="M278" s="105" t="s">
        <v>579</v>
      </c>
      <c r="N278" s="22">
        <v>2</v>
      </c>
      <c r="O278" s="26"/>
      <c r="P278" s="27">
        <v>79.2</v>
      </c>
      <c r="Q278" s="28">
        <f>data[[#This Row],[Costo Producto
Proveedor ($/Unid)]]*data[[#This Row],[Cantidad]]</f>
        <v>0</v>
      </c>
      <c r="R278" s="28">
        <f>data[[#This Row],[Cantidad]]*data[[#This Row],[Precio de Venta Cliente ($/Unid)]]</f>
        <v>158.4</v>
      </c>
      <c r="S278" s="29"/>
      <c r="T278" s="106" t="s">
        <v>16</v>
      </c>
      <c r="U278" s="106"/>
      <c r="V278" s="30" t="s">
        <v>42</v>
      </c>
      <c r="W278" s="32" t="s">
        <v>42</v>
      </c>
      <c r="X278" s="22" t="s">
        <v>23</v>
      </c>
      <c r="Y278" s="22" t="s">
        <v>23</v>
      </c>
      <c r="Z278" s="22" t="s">
        <v>504</v>
      </c>
      <c r="AA278" s="106"/>
    </row>
    <row r="279" spans="2:27" x14ac:dyDescent="0.25">
      <c r="B279" s="23"/>
      <c r="C279" s="174" t="str">
        <f>TEXT(data[[#This Row],[Fecha de Envío
Cotización]],"MMMM")</f>
        <v>abril</v>
      </c>
      <c r="D279" s="174">
        <v>44291</v>
      </c>
      <c r="E279" s="174" t="str">
        <f>IF(data[[#This Row],[Estatus de 
Cotización]]="PERDIDO","N/A","")</f>
        <v/>
      </c>
      <c r="F279" s="23"/>
      <c r="G279" s="109"/>
      <c r="H279" s="23"/>
      <c r="I279" s="86">
        <v>511769</v>
      </c>
      <c r="J279" s="87">
        <v>36225</v>
      </c>
      <c r="K279" s="24" t="s">
        <v>105</v>
      </c>
      <c r="L279" s="22"/>
      <c r="M279" s="108" t="s">
        <v>580</v>
      </c>
      <c r="N279" s="22">
        <v>1</v>
      </c>
      <c r="O279" s="26"/>
      <c r="P279" s="27">
        <v>59876.1</v>
      </c>
      <c r="Q279" s="28">
        <f>data[[#This Row],[Costo Producto
Proveedor ($/Unid)]]*data[[#This Row],[Cantidad]]</f>
        <v>0</v>
      </c>
      <c r="R279" s="28">
        <f>data[[#This Row],[Cantidad]]*data[[#This Row],[Precio de Venta Cliente ($/Unid)]]</f>
        <v>59876.1</v>
      </c>
      <c r="S279" s="29"/>
      <c r="T279" s="106" t="s">
        <v>581</v>
      </c>
      <c r="U279" s="106"/>
      <c r="V279" s="30" t="s">
        <v>46</v>
      </c>
      <c r="W279" s="32" t="s">
        <v>46</v>
      </c>
      <c r="X279" s="22" t="s">
        <v>23</v>
      </c>
      <c r="Y279" s="22" t="s">
        <v>23</v>
      </c>
      <c r="Z279" s="22" t="s">
        <v>504</v>
      </c>
      <c r="AA279" s="106"/>
    </row>
    <row r="280" spans="2:27" x14ac:dyDescent="0.25">
      <c r="B280" s="23"/>
      <c r="C280" s="174" t="str">
        <f>TEXT(data[[#This Row],[Fecha de Envío
Cotización]],"MMMM")</f>
        <v>abril</v>
      </c>
      <c r="D280" s="174">
        <v>44292</v>
      </c>
      <c r="E280" s="174">
        <v>44300</v>
      </c>
      <c r="F280" s="23">
        <v>44316</v>
      </c>
      <c r="G280" s="109">
        <v>4500304836</v>
      </c>
      <c r="H280" s="23"/>
      <c r="I280" s="86">
        <v>511770</v>
      </c>
      <c r="J280" s="87">
        <v>36250</v>
      </c>
      <c r="K280" s="24" t="s">
        <v>32</v>
      </c>
      <c r="L280" s="22"/>
      <c r="M280" s="41" t="s">
        <v>582</v>
      </c>
      <c r="N280" s="22">
        <v>10</v>
      </c>
      <c r="O280" s="26"/>
      <c r="P280" s="27">
        <v>13.34</v>
      </c>
      <c r="Q280" s="28">
        <f>data[[#This Row],[Costo Producto
Proveedor ($/Unid)]]*data[[#This Row],[Cantidad]]</f>
        <v>0</v>
      </c>
      <c r="R280" s="121">
        <f>data[[#This Row],[Cantidad]]*data[[#This Row],[Precio de Venta Cliente ($/Unid)]]</f>
        <v>133.4</v>
      </c>
      <c r="S280" s="29"/>
      <c r="T280" s="106" t="s">
        <v>22</v>
      </c>
      <c r="U280" s="106"/>
      <c r="V280" s="30" t="s">
        <v>44</v>
      </c>
      <c r="W280" s="32" t="s">
        <v>44</v>
      </c>
      <c r="X280" s="106" t="s">
        <v>45</v>
      </c>
      <c r="Y280" s="106" t="s">
        <v>503</v>
      </c>
      <c r="Z280" s="22" t="s">
        <v>504</v>
      </c>
      <c r="AA280" s="106"/>
    </row>
    <row r="281" spans="2:27" x14ac:dyDescent="0.25">
      <c r="B281" s="174"/>
      <c r="C281" s="174" t="str">
        <f>TEXT(data[[#This Row],[Fecha de Envío
Cotización]],"MMMM")</f>
        <v>abril</v>
      </c>
      <c r="D281" s="174">
        <v>44293</v>
      </c>
      <c r="E281" s="174" t="str">
        <f>IF(data[[#This Row],[Estatus de 
Cotización]]="PERDIDO","N/A","")</f>
        <v>N/A</v>
      </c>
      <c r="F281" s="174"/>
      <c r="G281" s="109"/>
      <c r="H281" s="174"/>
      <c r="I281" s="86">
        <v>511790</v>
      </c>
      <c r="J281" s="87">
        <v>36280</v>
      </c>
      <c r="K281" s="24" t="s">
        <v>32</v>
      </c>
      <c r="L281" s="106"/>
      <c r="M281" s="108" t="s">
        <v>583</v>
      </c>
      <c r="N281" s="106">
        <v>4</v>
      </c>
      <c r="O281" s="107"/>
      <c r="P281" s="27">
        <v>48.83</v>
      </c>
      <c r="Q281" s="28">
        <f>data[[#This Row],[Costo Producto
Proveedor ($/Unid)]]*data[[#This Row],[Cantidad]]</f>
        <v>0</v>
      </c>
      <c r="R281" s="28">
        <f>data[[#This Row],[Cantidad]]*data[[#This Row],[Precio de Venta Cliente ($/Unid)]]</f>
        <v>195.32</v>
      </c>
      <c r="S281" s="29"/>
      <c r="T281" s="106" t="s">
        <v>16</v>
      </c>
      <c r="U281" s="106"/>
      <c r="V281" s="30" t="s">
        <v>42</v>
      </c>
      <c r="W281" s="32" t="s">
        <v>42</v>
      </c>
      <c r="X281" s="106" t="s">
        <v>23</v>
      </c>
      <c r="Y281" s="106" t="s">
        <v>23</v>
      </c>
      <c r="Z281" s="106" t="s">
        <v>504</v>
      </c>
      <c r="AA281" s="106"/>
    </row>
    <row r="282" spans="2:27" x14ac:dyDescent="0.25">
      <c r="B282" s="174"/>
      <c r="C282" s="174" t="str">
        <f>TEXT(data[[#This Row],[Fecha de Envío
Cotización]],"MMMM")</f>
        <v>abril</v>
      </c>
      <c r="D282" s="174">
        <v>44293</v>
      </c>
      <c r="E282" s="174" t="str">
        <f>IF(data[[#This Row],[Estatus de 
Cotización]]="PERDIDO","N/A","")</f>
        <v>N/A</v>
      </c>
      <c r="F282" s="174"/>
      <c r="G282" s="109"/>
      <c r="H282" s="174"/>
      <c r="I282" s="86">
        <v>511791</v>
      </c>
      <c r="J282" s="87">
        <v>36280</v>
      </c>
      <c r="K282" s="24" t="s">
        <v>32</v>
      </c>
      <c r="L282" s="106"/>
      <c r="M282" s="108" t="s">
        <v>584</v>
      </c>
      <c r="N282" s="106">
        <v>4</v>
      </c>
      <c r="O282" s="107"/>
      <c r="P282" s="27">
        <v>72.069999999999993</v>
      </c>
      <c r="Q282" s="28">
        <f>data[[#This Row],[Costo Producto
Proveedor ($/Unid)]]*data[[#This Row],[Cantidad]]</f>
        <v>0</v>
      </c>
      <c r="R282" s="28">
        <f>data[[#This Row],[Cantidad]]*data[[#This Row],[Precio de Venta Cliente ($/Unid)]]</f>
        <v>288.27999999999997</v>
      </c>
      <c r="S282" s="29"/>
      <c r="T282" s="106" t="s">
        <v>16</v>
      </c>
      <c r="U282" s="106"/>
      <c r="V282" s="30" t="s">
        <v>42</v>
      </c>
      <c r="W282" s="32" t="s">
        <v>42</v>
      </c>
      <c r="X282" s="106" t="s">
        <v>23</v>
      </c>
      <c r="Y282" s="106" t="s">
        <v>23</v>
      </c>
      <c r="Z282" s="106" t="s">
        <v>504</v>
      </c>
      <c r="AA282" s="106"/>
    </row>
    <row r="283" spans="2:27" x14ac:dyDescent="0.25">
      <c r="B283" s="23"/>
      <c r="C283" s="174" t="str">
        <f>TEXT(data[[#This Row],[Fecha de Envío
Cotización]],"MMMM")</f>
        <v>abril</v>
      </c>
      <c r="D283" s="174">
        <v>44293</v>
      </c>
      <c r="E283" s="174" t="str">
        <f>IF(data[[#This Row],[Estatus de 
Cotización]]="PERDIDO","N/A","")</f>
        <v>N/A</v>
      </c>
      <c r="F283" s="23"/>
      <c r="G283" s="109"/>
      <c r="H283" s="23"/>
      <c r="I283" s="86">
        <v>511792</v>
      </c>
      <c r="J283" s="87">
        <v>36280</v>
      </c>
      <c r="K283" s="24" t="s">
        <v>32</v>
      </c>
      <c r="L283" s="22"/>
      <c r="M283" s="53" t="s">
        <v>585</v>
      </c>
      <c r="N283" s="22">
        <v>12</v>
      </c>
      <c r="O283" s="26"/>
      <c r="P283" s="27">
        <v>99.2</v>
      </c>
      <c r="Q283" s="28">
        <f>data[[#This Row],[Costo Producto
Proveedor ($/Unid)]]*data[[#This Row],[Cantidad]]</f>
        <v>0</v>
      </c>
      <c r="R283" s="28">
        <f>data[[#This Row],[Cantidad]]*data[[#This Row],[Precio de Venta Cliente ($/Unid)]]</f>
        <v>1190.4000000000001</v>
      </c>
      <c r="S283" s="29"/>
      <c r="T283" s="106" t="s">
        <v>16</v>
      </c>
      <c r="U283" s="106"/>
      <c r="V283" s="30" t="s">
        <v>42</v>
      </c>
      <c r="W283" s="32" t="s">
        <v>42</v>
      </c>
      <c r="X283" s="106" t="s">
        <v>23</v>
      </c>
      <c r="Y283" s="106" t="s">
        <v>23</v>
      </c>
      <c r="Z283" s="22" t="s">
        <v>504</v>
      </c>
      <c r="AA283" s="106"/>
    </row>
    <row r="284" spans="2:27" ht="15.75" x14ac:dyDescent="0.25">
      <c r="B284" s="23"/>
      <c r="C284" s="174" t="str">
        <f>TEXT(data[[#This Row],[Fecha de Envío
Cotización]],"MMMM")</f>
        <v>abril</v>
      </c>
      <c r="D284" s="174">
        <v>44294</v>
      </c>
      <c r="E284" s="174">
        <v>44294</v>
      </c>
      <c r="F284" s="23">
        <v>44294</v>
      </c>
      <c r="G284" s="109" t="s">
        <v>1470</v>
      </c>
      <c r="H284" s="23">
        <v>44294</v>
      </c>
      <c r="I284" s="86">
        <v>511808</v>
      </c>
      <c r="J284" s="88" t="s">
        <v>121</v>
      </c>
      <c r="K284" s="24" t="s">
        <v>120</v>
      </c>
      <c r="L284" s="22"/>
      <c r="M284" s="41" t="s">
        <v>586</v>
      </c>
      <c r="N284" s="22">
        <v>1</v>
      </c>
      <c r="O284" s="26"/>
      <c r="P284" s="27">
        <v>100.08</v>
      </c>
      <c r="Q284" s="28">
        <f>data[[#This Row],[Costo Producto
Proveedor ($/Unid)]]*data[[#This Row],[Cantidad]]</f>
        <v>0</v>
      </c>
      <c r="R284" s="28">
        <f>data[[#This Row],[Cantidad]]*data[[#This Row],[Precio de Venta Cliente ($/Unid)]]</f>
        <v>100.08</v>
      </c>
      <c r="S284" s="29"/>
      <c r="T284" s="106" t="s">
        <v>22</v>
      </c>
      <c r="U284" s="106"/>
      <c r="V284" s="30" t="s">
        <v>44</v>
      </c>
      <c r="W284" s="32" t="s">
        <v>44</v>
      </c>
      <c r="X284" s="106" t="s">
        <v>45</v>
      </c>
      <c r="Y284" s="106" t="s">
        <v>47</v>
      </c>
      <c r="Z284" s="22" t="s">
        <v>504</v>
      </c>
      <c r="AA284" s="106"/>
    </row>
    <row r="285" spans="2:27" x14ac:dyDescent="0.25">
      <c r="B285" s="23"/>
      <c r="C285" s="174" t="str">
        <f>TEXT(data[[#This Row],[Fecha de Envío
Cotización]],"MMMM")</f>
        <v>abril</v>
      </c>
      <c r="D285" s="174">
        <v>44295</v>
      </c>
      <c r="E285" s="174" t="str">
        <f>IF(data[[#This Row],[Estatus de 
Cotización]]="PERDIDO","N/A","")</f>
        <v>N/A</v>
      </c>
      <c r="F285" s="23"/>
      <c r="G285" s="109"/>
      <c r="H285" s="23"/>
      <c r="I285" s="86">
        <v>511812</v>
      </c>
      <c r="J285" s="87">
        <v>38920</v>
      </c>
      <c r="K285" s="24" t="s">
        <v>32</v>
      </c>
      <c r="L285" s="22"/>
      <c r="M285" s="8" t="s">
        <v>588</v>
      </c>
      <c r="N285" s="22">
        <v>2</v>
      </c>
      <c r="O285" s="26"/>
      <c r="P285" s="27">
        <v>226.93</v>
      </c>
      <c r="Q285" s="28">
        <f>data[[#This Row],[Costo Producto
Proveedor ($/Unid)]]*data[[#This Row],[Cantidad]]</f>
        <v>0</v>
      </c>
      <c r="R285" s="28">
        <f>data[[#This Row],[Cantidad]]*data[[#This Row],[Precio de Venta Cliente ($/Unid)]]</f>
        <v>453.86</v>
      </c>
      <c r="S285" s="29"/>
      <c r="T285" s="106" t="s">
        <v>73</v>
      </c>
      <c r="U285" s="106"/>
      <c r="V285" s="30" t="s">
        <v>42</v>
      </c>
      <c r="W285" s="32" t="s">
        <v>42</v>
      </c>
      <c r="X285" s="106" t="s">
        <v>23</v>
      </c>
      <c r="Y285" s="106" t="s">
        <v>23</v>
      </c>
      <c r="Z285" s="22" t="s">
        <v>504</v>
      </c>
      <c r="AA285" s="106"/>
    </row>
    <row r="286" spans="2:27" x14ac:dyDescent="0.25">
      <c r="B286" s="23"/>
      <c r="C286" s="174" t="str">
        <f>TEXT(data[[#This Row],[Fecha de Envío
Cotización]],"MMMM")</f>
        <v>abril</v>
      </c>
      <c r="D286" s="174">
        <v>44295</v>
      </c>
      <c r="E286" s="174" t="str">
        <f>IF(data[[#This Row],[Estatus de 
Cotización]]="PERDIDO","N/A","")</f>
        <v>N/A</v>
      </c>
      <c r="F286" s="23"/>
      <c r="G286" s="109"/>
      <c r="H286" s="23"/>
      <c r="I286" s="86">
        <v>511813</v>
      </c>
      <c r="J286" s="87">
        <v>38920</v>
      </c>
      <c r="K286" s="24" t="s">
        <v>32</v>
      </c>
      <c r="L286" s="22"/>
      <c r="M286" s="41" t="s">
        <v>589</v>
      </c>
      <c r="N286" s="22">
        <v>1</v>
      </c>
      <c r="O286" s="26"/>
      <c r="P286" s="27">
        <v>257.69</v>
      </c>
      <c r="Q286" s="28">
        <f>data[[#This Row],[Costo Producto
Proveedor ($/Unid)]]*data[[#This Row],[Cantidad]]</f>
        <v>0</v>
      </c>
      <c r="R286" s="28">
        <f>data[[#This Row],[Cantidad]]*data[[#This Row],[Precio de Venta Cliente ($/Unid)]]</f>
        <v>257.69</v>
      </c>
      <c r="S286" s="29"/>
      <c r="T286" s="106" t="s">
        <v>73</v>
      </c>
      <c r="U286" s="106"/>
      <c r="V286" s="30" t="s">
        <v>42</v>
      </c>
      <c r="W286" s="32" t="s">
        <v>42</v>
      </c>
      <c r="X286" s="106" t="s">
        <v>23</v>
      </c>
      <c r="Y286" s="106" t="s">
        <v>23</v>
      </c>
      <c r="Z286" s="22" t="s">
        <v>504</v>
      </c>
      <c r="AA286" s="106"/>
    </row>
    <row r="287" spans="2:27" x14ac:dyDescent="0.25">
      <c r="B287" s="23"/>
      <c r="C287" s="174" t="str">
        <f>TEXT(data[[#This Row],[Fecha de Envío
Cotización]],"MMMM")</f>
        <v>abril</v>
      </c>
      <c r="D287" s="174">
        <v>44295</v>
      </c>
      <c r="E287" s="174" t="str">
        <f>IF(data[[#This Row],[Estatus de 
Cotización]]="PERDIDO","N/A","")</f>
        <v>N/A</v>
      </c>
      <c r="F287" s="23"/>
      <c r="G287" s="109"/>
      <c r="H287" s="23"/>
      <c r="I287" s="86">
        <v>511814</v>
      </c>
      <c r="J287" s="87">
        <v>38920</v>
      </c>
      <c r="K287" s="24" t="s">
        <v>32</v>
      </c>
      <c r="L287" s="22"/>
      <c r="M287" s="53" t="s">
        <v>590</v>
      </c>
      <c r="N287" s="22">
        <v>1</v>
      </c>
      <c r="O287" s="26"/>
      <c r="P287" s="27">
        <v>411.02</v>
      </c>
      <c r="Q287" s="28">
        <f>data[[#This Row],[Costo Producto
Proveedor ($/Unid)]]*data[[#This Row],[Cantidad]]</f>
        <v>0</v>
      </c>
      <c r="R287" s="28">
        <f>data[[#This Row],[Cantidad]]*data[[#This Row],[Precio de Venta Cliente ($/Unid)]]</f>
        <v>411.02</v>
      </c>
      <c r="S287" s="29"/>
      <c r="T287" s="106" t="s">
        <v>73</v>
      </c>
      <c r="U287" s="106"/>
      <c r="V287" s="30" t="s">
        <v>42</v>
      </c>
      <c r="W287" s="32" t="s">
        <v>42</v>
      </c>
      <c r="X287" s="106" t="s">
        <v>23</v>
      </c>
      <c r="Y287" s="106" t="s">
        <v>23</v>
      </c>
      <c r="Z287" s="22" t="s">
        <v>504</v>
      </c>
      <c r="AA287" s="106"/>
    </row>
    <row r="288" spans="2:27" x14ac:dyDescent="0.25">
      <c r="B288" s="23"/>
      <c r="C288" s="174" t="str">
        <f>TEXT(data[[#This Row],[Fecha de Envío
Cotización]],"MMMM")</f>
        <v>abril</v>
      </c>
      <c r="D288" s="174">
        <v>44295</v>
      </c>
      <c r="E288" s="174" t="str">
        <f>IF(data[[#This Row],[Estatus de 
Cotización]]="PERDIDO","N/A","")</f>
        <v>N/A</v>
      </c>
      <c r="F288" s="23"/>
      <c r="G288" s="109"/>
      <c r="H288" s="23"/>
      <c r="I288" s="86">
        <v>511811</v>
      </c>
      <c r="J288" s="87">
        <v>3960</v>
      </c>
      <c r="K288" s="24" t="s">
        <v>122</v>
      </c>
      <c r="L288" s="22"/>
      <c r="M288" s="53" t="s">
        <v>587</v>
      </c>
      <c r="N288" s="22">
        <v>215</v>
      </c>
      <c r="O288" s="26"/>
      <c r="P288" s="27">
        <v>7.49</v>
      </c>
      <c r="Q288" s="28">
        <f>data[[#This Row],[Costo Producto
Proveedor ($/Unid)]]*data[[#This Row],[Cantidad]]</f>
        <v>0</v>
      </c>
      <c r="R288" s="28">
        <f>data[[#This Row],[Cantidad]]*data[[#This Row],[Precio de Venta Cliente ($/Unid)]]</f>
        <v>1610.3500000000001</v>
      </c>
      <c r="S288" s="29"/>
      <c r="T288" s="106" t="s">
        <v>104</v>
      </c>
      <c r="U288" s="106"/>
      <c r="V288" s="30" t="s">
        <v>42</v>
      </c>
      <c r="W288" s="32" t="s">
        <v>42</v>
      </c>
      <c r="X288" s="106" t="s">
        <v>23</v>
      </c>
      <c r="Y288" s="106" t="s">
        <v>23</v>
      </c>
      <c r="Z288" s="22" t="s">
        <v>504</v>
      </c>
      <c r="AA288" s="106"/>
    </row>
    <row r="289" spans="2:27" x14ac:dyDescent="0.25">
      <c r="B289" s="174"/>
      <c r="C289" s="174" t="str">
        <f>TEXT(data[[#This Row],[Fecha de Envío
Cotización]],"MMMM")</f>
        <v>abril</v>
      </c>
      <c r="D289" s="174">
        <v>44298</v>
      </c>
      <c r="E289" s="174" t="str">
        <f>IF(data[[#This Row],[Estatus de 
Cotización]]="PERDIDO","N/A","")</f>
        <v>N/A</v>
      </c>
      <c r="F289" s="174"/>
      <c r="G289" s="109"/>
      <c r="H289" s="174"/>
      <c r="I289" s="86">
        <v>511823</v>
      </c>
      <c r="J289" s="87">
        <v>39620</v>
      </c>
      <c r="K289" s="24" t="s">
        <v>139</v>
      </c>
      <c r="L289" s="106"/>
      <c r="M289" s="108" t="s">
        <v>591</v>
      </c>
      <c r="N289" s="106">
        <v>1</v>
      </c>
      <c r="O289" s="107"/>
      <c r="P289" s="27">
        <v>335.35</v>
      </c>
      <c r="Q289" s="28">
        <f>data[[#This Row],[Costo Producto
Proveedor ($/Unid)]]*data[[#This Row],[Cantidad]]</f>
        <v>0</v>
      </c>
      <c r="R289" s="28">
        <f>data[[#This Row],[Cantidad]]*data[[#This Row],[Precio de Venta Cliente ($/Unid)]]</f>
        <v>335.35</v>
      </c>
      <c r="S289" s="29"/>
      <c r="T289" s="106" t="s">
        <v>592</v>
      </c>
      <c r="U289" s="106"/>
      <c r="V289" s="30" t="s">
        <v>42</v>
      </c>
      <c r="W289" s="32" t="s">
        <v>42</v>
      </c>
      <c r="X289" s="106" t="s">
        <v>23</v>
      </c>
      <c r="Y289" s="106" t="s">
        <v>23</v>
      </c>
      <c r="Z289" s="106" t="s">
        <v>504</v>
      </c>
      <c r="AA289" s="106"/>
    </row>
    <row r="290" spans="2:27" s="10" customFormat="1" ht="15.75" x14ac:dyDescent="0.25">
      <c r="B290" s="174"/>
      <c r="C290" s="174" t="str">
        <f>TEXT(data[[#This Row],[Fecha de Envío
Cotización]],"MMMM")</f>
        <v>abril</v>
      </c>
      <c r="D290" s="174">
        <v>44300</v>
      </c>
      <c r="E290" s="23" t="str">
        <f>IF(data[[#This Row],[Estatus de 
Cotización]]="PERDIDO","N/A","")</f>
        <v>N/A</v>
      </c>
      <c r="F290" s="174"/>
      <c r="G290" s="109"/>
      <c r="H290" s="174"/>
      <c r="I290" s="86">
        <v>511843</v>
      </c>
      <c r="J290" s="87">
        <v>40002</v>
      </c>
      <c r="K290" s="24" t="s">
        <v>32</v>
      </c>
      <c r="L290" s="106"/>
      <c r="M290" s="105" t="s">
        <v>593</v>
      </c>
      <c r="N290" s="106">
        <v>1</v>
      </c>
      <c r="O290" s="107"/>
      <c r="P290" s="27">
        <v>828</v>
      </c>
      <c r="Q290" s="28">
        <f>data[[#This Row],[Costo Producto
Proveedor ($/Unid)]]*data[[#This Row],[Cantidad]]</f>
        <v>0</v>
      </c>
      <c r="R290" s="28">
        <f>data[[#This Row],[Cantidad]]*data[[#This Row],[Precio de Venta Cliente ($/Unid)]]</f>
        <v>828</v>
      </c>
      <c r="S290" s="29"/>
      <c r="T290" s="106" t="s">
        <v>22</v>
      </c>
      <c r="U290" s="106"/>
      <c r="V290" s="30" t="s">
        <v>42</v>
      </c>
      <c r="W290" s="32" t="s">
        <v>42</v>
      </c>
      <c r="X290" s="106" t="s">
        <v>23</v>
      </c>
      <c r="Y290" s="106" t="s">
        <v>23</v>
      </c>
      <c r="Z290" s="106" t="s">
        <v>504</v>
      </c>
      <c r="AA290" s="5" t="s">
        <v>137</v>
      </c>
    </row>
    <row r="291" spans="2:27" s="10" customFormat="1" ht="15.75" x14ac:dyDescent="0.25">
      <c r="B291" s="23"/>
      <c r="C291" s="174" t="str">
        <f>TEXT(data[[#This Row],[Fecha de Envío
Cotización]],"MMMM")</f>
        <v>abril</v>
      </c>
      <c r="D291" s="174">
        <v>44302</v>
      </c>
      <c r="E291" s="23" t="str">
        <f>IF(data[[#This Row],[Estatus de 
Cotización]]="PERDIDO","N/A","")</f>
        <v>N/A</v>
      </c>
      <c r="F291" s="23"/>
      <c r="G291" s="109"/>
      <c r="H291" s="23"/>
      <c r="I291" s="86">
        <v>511882</v>
      </c>
      <c r="J291" s="87">
        <v>3</v>
      </c>
      <c r="K291" s="24" t="s">
        <v>138</v>
      </c>
      <c r="L291" s="22"/>
      <c r="M291" s="105" t="s">
        <v>594</v>
      </c>
      <c r="N291" s="22">
        <v>10</v>
      </c>
      <c r="O291" s="26"/>
      <c r="P291" s="27">
        <v>24.17</v>
      </c>
      <c r="Q291" s="28">
        <f>data[[#This Row],[Costo Producto
Proveedor ($/Unid)]]*data[[#This Row],[Cantidad]]</f>
        <v>0</v>
      </c>
      <c r="R291" s="28">
        <f>data[[#This Row],[Cantidad]]*data[[#This Row],[Precio de Venta Cliente ($/Unid)]]</f>
        <v>241.70000000000002</v>
      </c>
      <c r="S291" s="29"/>
      <c r="T291" s="106" t="s">
        <v>73</v>
      </c>
      <c r="U291" s="106"/>
      <c r="V291" s="30" t="s">
        <v>42</v>
      </c>
      <c r="W291" s="32" t="s">
        <v>42</v>
      </c>
      <c r="X291" s="106" t="s">
        <v>23</v>
      </c>
      <c r="Y291" s="106" t="s">
        <v>23</v>
      </c>
      <c r="Z291" s="22" t="s">
        <v>504</v>
      </c>
      <c r="AA291" s="5"/>
    </row>
    <row r="292" spans="2:27" s="10" customFormat="1" ht="15.75" x14ac:dyDescent="0.25">
      <c r="B292" s="23"/>
      <c r="C292" s="174" t="str">
        <f>TEXT(data[[#This Row],[Fecha de Envío
Cotización]],"MMMM")</f>
        <v>abril</v>
      </c>
      <c r="D292" s="174">
        <v>44302</v>
      </c>
      <c r="E292" s="23" t="str">
        <f>IF(data[[#This Row],[Estatus de 
Cotización]]="PERDIDO","N/A","")</f>
        <v>N/A</v>
      </c>
      <c r="F292" s="23"/>
      <c r="G292" s="109"/>
      <c r="H292" s="23"/>
      <c r="I292" s="86">
        <v>511883</v>
      </c>
      <c r="J292" s="87">
        <v>2601</v>
      </c>
      <c r="K292" s="24" t="s">
        <v>138</v>
      </c>
      <c r="L292" s="22"/>
      <c r="M292" s="105" t="s">
        <v>595</v>
      </c>
      <c r="N292" s="22">
        <v>1</v>
      </c>
      <c r="O292" s="26"/>
      <c r="P292" s="27">
        <v>28.05</v>
      </c>
      <c r="Q292" s="28">
        <f>data[[#This Row],[Costo Producto
Proveedor ($/Unid)]]*data[[#This Row],[Cantidad]]</f>
        <v>0</v>
      </c>
      <c r="R292" s="28">
        <f>data[[#This Row],[Cantidad]]*data[[#This Row],[Precio de Venta Cliente ($/Unid)]]</f>
        <v>28.05</v>
      </c>
      <c r="S292" s="29"/>
      <c r="T292" s="106" t="s">
        <v>134</v>
      </c>
      <c r="U292" s="106"/>
      <c r="V292" s="30" t="s">
        <v>42</v>
      </c>
      <c r="W292" s="32" t="s">
        <v>42</v>
      </c>
      <c r="X292" s="106" t="s">
        <v>23</v>
      </c>
      <c r="Y292" s="106" t="s">
        <v>23</v>
      </c>
      <c r="Z292" s="22" t="s">
        <v>504</v>
      </c>
      <c r="AA292" s="5"/>
    </row>
    <row r="293" spans="2:27" s="10" customFormat="1" ht="15.75" x14ac:dyDescent="0.25">
      <c r="B293" s="23"/>
      <c r="C293" s="174" t="str">
        <f>TEXT(data[[#This Row],[Fecha de Envío
Cotización]],"MMMM")</f>
        <v>abril</v>
      </c>
      <c r="D293" s="174">
        <v>44302</v>
      </c>
      <c r="E293" s="23" t="str">
        <f>IF(data[[#This Row],[Estatus de 
Cotización]]="PERDIDO","N/A","")</f>
        <v>N/A</v>
      </c>
      <c r="F293" s="23"/>
      <c r="G293" s="109"/>
      <c r="H293" s="23"/>
      <c r="I293" s="86">
        <v>511884</v>
      </c>
      <c r="J293" s="87">
        <v>2601</v>
      </c>
      <c r="K293" s="24" t="s">
        <v>138</v>
      </c>
      <c r="L293" s="22"/>
      <c r="M293" s="105" t="s">
        <v>596</v>
      </c>
      <c r="N293" s="22">
        <v>1</v>
      </c>
      <c r="O293" s="26"/>
      <c r="P293" s="27">
        <v>59.4</v>
      </c>
      <c r="Q293" s="28">
        <f>data[[#This Row],[Costo Producto
Proveedor ($/Unid)]]*data[[#This Row],[Cantidad]]</f>
        <v>0</v>
      </c>
      <c r="R293" s="28">
        <f>data[[#This Row],[Cantidad]]*data[[#This Row],[Precio de Venta Cliente ($/Unid)]]</f>
        <v>59.4</v>
      </c>
      <c r="S293" s="29"/>
      <c r="T293" s="106" t="s">
        <v>134</v>
      </c>
      <c r="U293" s="106"/>
      <c r="V293" s="30" t="s">
        <v>42</v>
      </c>
      <c r="W293" s="32" t="s">
        <v>42</v>
      </c>
      <c r="X293" s="106" t="s">
        <v>23</v>
      </c>
      <c r="Y293" s="106" t="s">
        <v>23</v>
      </c>
      <c r="Z293" s="22" t="s">
        <v>504</v>
      </c>
      <c r="AA293" s="5"/>
    </row>
    <row r="294" spans="2:27" s="10" customFormat="1" ht="15.75" x14ac:dyDescent="0.25">
      <c r="B294" s="23"/>
      <c r="C294" s="174" t="str">
        <f>TEXT(data[[#This Row],[Fecha de Envío
Cotización]],"MMMM")</f>
        <v>abril</v>
      </c>
      <c r="D294" s="174">
        <v>44302</v>
      </c>
      <c r="E294" s="23" t="str">
        <f>IF(data[[#This Row],[Estatus de 
Cotización]]="PERDIDO","N/A","")</f>
        <v>N/A</v>
      </c>
      <c r="F294" s="23"/>
      <c r="G294" s="109"/>
      <c r="H294" s="23"/>
      <c r="I294" s="86">
        <v>511885</v>
      </c>
      <c r="J294" s="87">
        <v>2601</v>
      </c>
      <c r="K294" s="24" t="s">
        <v>138</v>
      </c>
      <c r="L294" s="22"/>
      <c r="M294" s="105" t="s">
        <v>597</v>
      </c>
      <c r="N294" s="22">
        <v>1</v>
      </c>
      <c r="O294" s="26"/>
      <c r="P294" s="27">
        <v>94.07</v>
      </c>
      <c r="Q294" s="28">
        <f>data[[#This Row],[Costo Producto
Proveedor ($/Unid)]]*data[[#This Row],[Cantidad]]</f>
        <v>0</v>
      </c>
      <c r="R294" s="28">
        <f>data[[#This Row],[Cantidad]]*data[[#This Row],[Precio de Venta Cliente ($/Unid)]]</f>
        <v>94.07</v>
      </c>
      <c r="S294" s="29"/>
      <c r="T294" s="106" t="s">
        <v>134</v>
      </c>
      <c r="U294" s="106"/>
      <c r="V294" s="30" t="s">
        <v>42</v>
      </c>
      <c r="W294" s="32" t="s">
        <v>42</v>
      </c>
      <c r="X294" s="106" t="s">
        <v>23</v>
      </c>
      <c r="Y294" s="106" t="s">
        <v>23</v>
      </c>
      <c r="Z294" s="22" t="s">
        <v>504</v>
      </c>
      <c r="AA294" s="5"/>
    </row>
    <row r="295" spans="2:27" s="10" customFormat="1" ht="15.75" x14ac:dyDescent="0.25">
      <c r="B295" s="23"/>
      <c r="C295" s="174" t="str">
        <f>TEXT(data[[#This Row],[Fecha de Envío
Cotización]],"MMMM")</f>
        <v>abril</v>
      </c>
      <c r="D295" s="23">
        <v>44309</v>
      </c>
      <c r="E295" s="23" t="str">
        <f>IF(data[[#This Row],[Estatus de 
Cotización]]="PERDIDO","N/A","")</f>
        <v>N/A</v>
      </c>
      <c r="F295" s="23"/>
      <c r="G295" s="109"/>
      <c r="H295" s="23"/>
      <c r="I295" s="86">
        <v>511934</v>
      </c>
      <c r="J295" s="87">
        <v>2606</v>
      </c>
      <c r="K295" s="24" t="s">
        <v>138</v>
      </c>
      <c r="L295" s="22"/>
      <c r="M295" s="108" t="s">
        <v>871</v>
      </c>
      <c r="N295" s="22">
        <v>1</v>
      </c>
      <c r="O295" s="26"/>
      <c r="P295" s="107">
        <v>154.94999999999999</v>
      </c>
      <c r="Q295" s="28">
        <f>data[[#This Row],[Costo Producto
Proveedor ($/Unid)]]*data[[#This Row],[Cantidad]]</f>
        <v>0</v>
      </c>
      <c r="R295" s="28">
        <f>data[[#This Row],[Cantidad]]*data[[#This Row],[Precio de Venta Cliente ($/Unid)]]</f>
        <v>154.94999999999999</v>
      </c>
      <c r="S295" s="29"/>
      <c r="T295" s="106" t="s">
        <v>16</v>
      </c>
      <c r="U295" s="106"/>
      <c r="V295" s="30" t="s">
        <v>42</v>
      </c>
      <c r="W295" s="32" t="s">
        <v>42</v>
      </c>
      <c r="X295" s="106" t="s">
        <v>23</v>
      </c>
      <c r="Y295" s="106" t="s">
        <v>23</v>
      </c>
      <c r="Z295" s="22" t="s">
        <v>504</v>
      </c>
      <c r="AA295" s="5"/>
    </row>
    <row r="296" spans="2:27" s="10" customFormat="1" ht="15.75" x14ac:dyDescent="0.25">
      <c r="B296" s="23"/>
      <c r="C296" s="174" t="str">
        <f>TEXT(data[[#This Row],[Fecha de Envío
Cotización]],"MMMM")</f>
        <v>abril</v>
      </c>
      <c r="D296" s="23">
        <v>44309</v>
      </c>
      <c r="E296" s="23" t="str">
        <f>IF(data[[#This Row],[Estatus de 
Cotización]]="PERDIDO","N/A","")</f>
        <v>N/A</v>
      </c>
      <c r="F296" s="23"/>
      <c r="G296" s="109"/>
      <c r="H296" s="23"/>
      <c r="I296" s="86">
        <v>511935</v>
      </c>
      <c r="J296" s="87">
        <v>2606</v>
      </c>
      <c r="K296" s="24" t="s">
        <v>138</v>
      </c>
      <c r="L296" s="22"/>
      <c r="M296" s="108" t="s">
        <v>872</v>
      </c>
      <c r="N296" s="22">
        <v>1</v>
      </c>
      <c r="O296" s="26"/>
      <c r="P296" s="107">
        <v>112.06</v>
      </c>
      <c r="Q296" s="28">
        <f>data[[#This Row],[Costo Producto
Proveedor ($/Unid)]]*data[[#This Row],[Cantidad]]</f>
        <v>0</v>
      </c>
      <c r="R296" s="28">
        <f>data[[#This Row],[Cantidad]]*data[[#This Row],[Precio de Venta Cliente ($/Unid)]]</f>
        <v>112.06</v>
      </c>
      <c r="S296" s="29"/>
      <c r="T296" s="106" t="s">
        <v>16</v>
      </c>
      <c r="U296" s="106"/>
      <c r="V296" s="30" t="s">
        <v>42</v>
      </c>
      <c r="W296" s="32" t="s">
        <v>42</v>
      </c>
      <c r="X296" s="106" t="s">
        <v>23</v>
      </c>
      <c r="Y296" s="106" t="s">
        <v>23</v>
      </c>
      <c r="Z296" s="22" t="s">
        <v>504</v>
      </c>
      <c r="AA296" s="5"/>
    </row>
    <row r="297" spans="2:27" s="10" customFormat="1" ht="15.75" x14ac:dyDescent="0.25">
      <c r="B297" s="174"/>
      <c r="C297" s="174" t="str">
        <f>TEXT(data[[#This Row],[Fecha de Envío
Cotización]],"MMMM")</f>
        <v>abril</v>
      </c>
      <c r="D297" s="174">
        <v>44309</v>
      </c>
      <c r="E297" s="174" t="str">
        <f>IF(data[[#This Row],[Estatus de 
Cotización]]="PERDIDO","N/A","")</f>
        <v>N/A</v>
      </c>
      <c r="F297" s="174"/>
      <c r="G297" s="109"/>
      <c r="H297" s="174"/>
      <c r="I297" s="86">
        <v>511936</v>
      </c>
      <c r="J297" s="87">
        <v>2606</v>
      </c>
      <c r="K297" s="24" t="s">
        <v>138</v>
      </c>
      <c r="L297" s="106"/>
      <c r="M297" s="108" t="s">
        <v>873</v>
      </c>
      <c r="N297" s="106">
        <v>1</v>
      </c>
      <c r="O297" s="107"/>
      <c r="P297" s="107">
        <v>113.66</v>
      </c>
      <c r="Q297" s="28">
        <f>data[[#This Row],[Costo Producto
Proveedor ($/Unid)]]*data[[#This Row],[Cantidad]]</f>
        <v>0</v>
      </c>
      <c r="R297" s="28">
        <f>data[[#This Row],[Cantidad]]*data[[#This Row],[Precio de Venta Cliente ($/Unid)]]</f>
        <v>113.66</v>
      </c>
      <c r="S297" s="29"/>
      <c r="T297" s="106" t="s">
        <v>16</v>
      </c>
      <c r="U297" s="106"/>
      <c r="V297" s="30" t="s">
        <v>42</v>
      </c>
      <c r="W297" s="32" t="s">
        <v>42</v>
      </c>
      <c r="X297" s="106" t="s">
        <v>23</v>
      </c>
      <c r="Y297" s="106" t="s">
        <v>23</v>
      </c>
      <c r="Z297" s="106" t="s">
        <v>504</v>
      </c>
      <c r="AA297" s="5"/>
    </row>
    <row r="298" spans="2:27" s="10" customFormat="1" ht="15.75" x14ac:dyDescent="0.25">
      <c r="B298" s="174"/>
      <c r="C298" s="174" t="str">
        <f>TEXT(data[[#This Row],[Fecha de Envío
Cotización]],"MMMM")</f>
        <v>abril</v>
      </c>
      <c r="D298" s="174">
        <v>44309</v>
      </c>
      <c r="E298" s="174" t="str">
        <f>IF(data[[#This Row],[Estatus de 
Cotización]]="PERDIDO","N/A","")</f>
        <v>N/A</v>
      </c>
      <c r="F298" s="174"/>
      <c r="G298" s="109"/>
      <c r="H298" s="174"/>
      <c r="I298" s="86">
        <v>511937</v>
      </c>
      <c r="J298" s="87">
        <v>2606</v>
      </c>
      <c r="K298" s="24" t="s">
        <v>138</v>
      </c>
      <c r="L298" s="106"/>
      <c r="M298" s="108" t="s">
        <v>874</v>
      </c>
      <c r="N298" s="106">
        <v>1</v>
      </c>
      <c r="O298" s="107"/>
      <c r="P298" s="107">
        <v>120.19</v>
      </c>
      <c r="Q298" s="28">
        <f>data[[#This Row],[Costo Producto
Proveedor ($/Unid)]]*data[[#This Row],[Cantidad]]</f>
        <v>0</v>
      </c>
      <c r="R298" s="28">
        <f>data[[#This Row],[Cantidad]]*data[[#This Row],[Precio de Venta Cliente ($/Unid)]]</f>
        <v>120.19</v>
      </c>
      <c r="S298" s="29"/>
      <c r="T298" s="106" t="s">
        <v>16</v>
      </c>
      <c r="U298" s="106"/>
      <c r="V298" s="30" t="s">
        <v>42</v>
      </c>
      <c r="W298" s="32" t="s">
        <v>42</v>
      </c>
      <c r="X298" s="106" t="s">
        <v>23</v>
      </c>
      <c r="Y298" s="106" t="s">
        <v>23</v>
      </c>
      <c r="Z298" s="106" t="s">
        <v>504</v>
      </c>
      <c r="AA298" s="5"/>
    </row>
    <row r="299" spans="2:27" s="10" customFormat="1" ht="15.75" x14ac:dyDescent="0.25">
      <c r="B299" s="174"/>
      <c r="C299" s="174" t="str">
        <f>TEXT(data[[#This Row],[Fecha de Envío
Cotización]],"MMMM")</f>
        <v>abril</v>
      </c>
      <c r="D299" s="174">
        <v>44309</v>
      </c>
      <c r="E299" s="23" t="str">
        <f>IF(data[[#This Row],[Estatus de 
Cotización]]="PERDIDO","N/A","")</f>
        <v>N/A</v>
      </c>
      <c r="F299" s="174"/>
      <c r="G299" s="109"/>
      <c r="H299" s="174"/>
      <c r="I299" s="86">
        <v>511938</v>
      </c>
      <c r="J299" s="87">
        <v>2606</v>
      </c>
      <c r="K299" s="24" t="s">
        <v>138</v>
      </c>
      <c r="L299" s="106"/>
      <c r="M299" s="108" t="s">
        <v>875</v>
      </c>
      <c r="N299" s="106">
        <v>1</v>
      </c>
      <c r="O299" s="107"/>
      <c r="P299" s="107">
        <v>196.9</v>
      </c>
      <c r="Q299" s="28">
        <f>data[[#This Row],[Costo Producto
Proveedor ($/Unid)]]*data[[#This Row],[Cantidad]]</f>
        <v>0</v>
      </c>
      <c r="R299" s="28">
        <f>data[[#This Row],[Cantidad]]*data[[#This Row],[Precio de Venta Cliente ($/Unid)]]</f>
        <v>196.9</v>
      </c>
      <c r="S299" s="29"/>
      <c r="T299" s="106" t="s">
        <v>16</v>
      </c>
      <c r="U299" s="106"/>
      <c r="V299" s="30" t="s">
        <v>42</v>
      </c>
      <c r="W299" s="32" t="s">
        <v>42</v>
      </c>
      <c r="X299" s="106" t="s">
        <v>23</v>
      </c>
      <c r="Y299" s="106" t="s">
        <v>23</v>
      </c>
      <c r="Z299" s="106" t="s">
        <v>504</v>
      </c>
      <c r="AA299" s="5"/>
    </row>
    <row r="300" spans="2:27" s="10" customFormat="1" ht="15.75" x14ac:dyDescent="0.25">
      <c r="B300" s="23"/>
      <c r="C300" s="174" t="str">
        <f>TEXT(data[[#This Row],[Fecha de Envío
Cotización]],"MMMM")</f>
        <v>abril</v>
      </c>
      <c r="D300" s="23">
        <v>44309</v>
      </c>
      <c r="E300" s="23" t="str">
        <f>IF(data[[#This Row],[Estatus de 
Cotización]]="PERDIDO","N/A","")</f>
        <v>N/A</v>
      </c>
      <c r="F300" s="23"/>
      <c r="G300" s="109"/>
      <c r="H300" s="23"/>
      <c r="I300" s="86">
        <v>511939</v>
      </c>
      <c r="J300" s="87">
        <v>2606</v>
      </c>
      <c r="K300" s="24" t="s">
        <v>138</v>
      </c>
      <c r="L300" s="22"/>
      <c r="M300" s="25" t="s">
        <v>876</v>
      </c>
      <c r="N300" s="22">
        <v>3</v>
      </c>
      <c r="O300" s="26"/>
      <c r="P300" s="107">
        <v>167.52</v>
      </c>
      <c r="Q300" s="28">
        <f>data[[#This Row],[Costo Producto
Proveedor ($/Unid)]]*data[[#This Row],[Cantidad]]</f>
        <v>0</v>
      </c>
      <c r="R300" s="28">
        <f>data[[#This Row],[Cantidad]]*data[[#This Row],[Precio de Venta Cliente ($/Unid)]]</f>
        <v>502.56000000000006</v>
      </c>
      <c r="S300" s="29"/>
      <c r="T300" s="106" t="s">
        <v>16</v>
      </c>
      <c r="U300" s="106"/>
      <c r="V300" s="30" t="s">
        <v>42</v>
      </c>
      <c r="W300" s="32" t="s">
        <v>42</v>
      </c>
      <c r="X300" s="22" t="s">
        <v>23</v>
      </c>
      <c r="Y300" s="22" t="s">
        <v>23</v>
      </c>
      <c r="Z300" s="22" t="s">
        <v>504</v>
      </c>
      <c r="AA300" s="5"/>
    </row>
    <row r="301" spans="2:27" s="10" customFormat="1" ht="15.75" x14ac:dyDescent="0.25">
      <c r="B301" s="23"/>
      <c r="C301" s="174" t="str">
        <f>TEXT(data[[#This Row],[Fecha de Envío
Cotización]],"MMMM")</f>
        <v>abril</v>
      </c>
      <c r="D301" s="23">
        <v>44309</v>
      </c>
      <c r="E301" s="23" t="str">
        <f>IF(data[[#This Row],[Estatus de 
Cotización]]="PERDIDO","N/A","")</f>
        <v>N/A</v>
      </c>
      <c r="F301" s="23"/>
      <c r="G301" s="109"/>
      <c r="H301" s="23"/>
      <c r="I301" s="86">
        <v>511940</v>
      </c>
      <c r="J301" s="87">
        <v>2606</v>
      </c>
      <c r="K301" s="24" t="s">
        <v>138</v>
      </c>
      <c r="L301" s="22"/>
      <c r="M301" s="25" t="s">
        <v>877</v>
      </c>
      <c r="N301" s="22">
        <v>10</v>
      </c>
      <c r="O301" s="26"/>
      <c r="P301" s="107">
        <v>18.170000000000002</v>
      </c>
      <c r="Q301" s="28">
        <f>data[[#This Row],[Costo Producto
Proveedor ($/Unid)]]*data[[#This Row],[Cantidad]]</f>
        <v>0</v>
      </c>
      <c r="R301" s="28">
        <f>data[[#This Row],[Cantidad]]*data[[#This Row],[Precio de Venta Cliente ($/Unid)]]</f>
        <v>181.70000000000002</v>
      </c>
      <c r="S301" s="29"/>
      <c r="T301" s="106" t="s">
        <v>16</v>
      </c>
      <c r="U301" s="106"/>
      <c r="V301" s="30" t="s">
        <v>42</v>
      </c>
      <c r="W301" s="32" t="s">
        <v>42</v>
      </c>
      <c r="X301" s="106" t="s">
        <v>23</v>
      </c>
      <c r="Y301" s="106" t="s">
        <v>23</v>
      </c>
      <c r="Z301" s="22" t="s">
        <v>504</v>
      </c>
      <c r="AA301" s="5"/>
    </row>
    <row r="302" spans="2:27" s="10" customFormat="1" ht="15.75" x14ac:dyDescent="0.25">
      <c r="B302" s="23"/>
      <c r="C302" s="174" t="str">
        <f>TEXT(data[[#This Row],[Fecha de Envío
Cotización]],"MMMM")</f>
        <v>abril</v>
      </c>
      <c r="D302" s="23">
        <v>44309</v>
      </c>
      <c r="E302" s="23" t="str">
        <f>IF(data[[#This Row],[Estatus de 
Cotización]]="PERDIDO","N/A","")</f>
        <v>N/A</v>
      </c>
      <c r="F302" s="23"/>
      <c r="G302" s="109"/>
      <c r="H302" s="23"/>
      <c r="I302" s="86">
        <v>511941</v>
      </c>
      <c r="J302" s="87">
        <v>2606</v>
      </c>
      <c r="K302" s="24" t="s">
        <v>138</v>
      </c>
      <c r="L302" s="22"/>
      <c r="M302" s="25" t="s">
        <v>878</v>
      </c>
      <c r="N302" s="22">
        <v>10</v>
      </c>
      <c r="O302" s="26"/>
      <c r="P302" s="107">
        <v>11.64</v>
      </c>
      <c r="Q302" s="28">
        <f>data[[#This Row],[Costo Producto
Proveedor ($/Unid)]]*data[[#This Row],[Cantidad]]</f>
        <v>0</v>
      </c>
      <c r="R302" s="28">
        <f>data[[#This Row],[Cantidad]]*data[[#This Row],[Precio de Venta Cliente ($/Unid)]]</f>
        <v>116.4</v>
      </c>
      <c r="S302" s="29"/>
      <c r="T302" s="106" t="s">
        <v>16</v>
      </c>
      <c r="U302" s="106"/>
      <c r="V302" s="30" t="s">
        <v>42</v>
      </c>
      <c r="W302" s="32" t="s">
        <v>42</v>
      </c>
      <c r="X302" s="106" t="s">
        <v>23</v>
      </c>
      <c r="Y302" s="106" t="s">
        <v>23</v>
      </c>
      <c r="Z302" s="22" t="s">
        <v>504</v>
      </c>
      <c r="AA302" s="5"/>
    </row>
    <row r="303" spans="2:27" s="10" customFormat="1" ht="15.75" x14ac:dyDescent="0.25">
      <c r="B303" s="174"/>
      <c r="C303" s="174" t="str">
        <f>TEXT(data[[#This Row],[Fecha de Envío
Cotización]],"MMMM")</f>
        <v>abril</v>
      </c>
      <c r="D303" s="174">
        <v>44309</v>
      </c>
      <c r="E303" s="23" t="str">
        <f>IF(data[[#This Row],[Estatus de 
Cotización]]="PERDIDO","N/A","")</f>
        <v>N/A</v>
      </c>
      <c r="F303" s="174"/>
      <c r="G303" s="109"/>
      <c r="H303" s="174"/>
      <c r="I303" s="86">
        <v>511942</v>
      </c>
      <c r="J303" s="87">
        <v>2606</v>
      </c>
      <c r="K303" s="24" t="s">
        <v>138</v>
      </c>
      <c r="L303" s="106"/>
      <c r="M303" s="108" t="s">
        <v>879</v>
      </c>
      <c r="N303" s="106">
        <v>10</v>
      </c>
      <c r="O303" s="107"/>
      <c r="P303" s="107">
        <v>15.72</v>
      </c>
      <c r="Q303" s="28">
        <f>data[[#This Row],[Costo Producto
Proveedor ($/Unid)]]*data[[#This Row],[Cantidad]]</f>
        <v>0</v>
      </c>
      <c r="R303" s="28">
        <f>data[[#This Row],[Cantidad]]*data[[#This Row],[Precio de Venta Cliente ($/Unid)]]</f>
        <v>157.20000000000002</v>
      </c>
      <c r="S303" s="29"/>
      <c r="T303" s="106" t="s">
        <v>16</v>
      </c>
      <c r="U303" s="106"/>
      <c r="V303" s="30" t="s">
        <v>42</v>
      </c>
      <c r="W303" s="32" t="s">
        <v>42</v>
      </c>
      <c r="X303" s="106" t="s">
        <v>23</v>
      </c>
      <c r="Y303" s="106" t="s">
        <v>23</v>
      </c>
      <c r="Z303" s="106" t="s">
        <v>504</v>
      </c>
      <c r="AA303" s="5"/>
    </row>
    <row r="304" spans="2:27" s="10" customFormat="1" ht="15.75" x14ac:dyDescent="0.25">
      <c r="B304" s="174"/>
      <c r="C304" s="174" t="str">
        <f>TEXT(data[[#This Row],[Fecha de Envío
Cotización]],"MMMM")</f>
        <v>abril</v>
      </c>
      <c r="D304" s="174">
        <v>44309</v>
      </c>
      <c r="E304" s="23" t="str">
        <f>IF(data[[#This Row],[Estatus de 
Cotización]]="PERDIDO","N/A","")</f>
        <v>N/A</v>
      </c>
      <c r="F304" s="174"/>
      <c r="G304" s="109"/>
      <c r="H304" s="174"/>
      <c r="I304" s="86">
        <v>511943</v>
      </c>
      <c r="J304" s="87">
        <v>2606</v>
      </c>
      <c r="K304" s="24" t="s">
        <v>138</v>
      </c>
      <c r="L304" s="106"/>
      <c r="M304" s="108" t="s">
        <v>880</v>
      </c>
      <c r="N304" s="106">
        <v>5</v>
      </c>
      <c r="O304" s="107"/>
      <c r="P304" s="107">
        <v>35.28</v>
      </c>
      <c r="Q304" s="28">
        <f>data[[#This Row],[Costo Producto
Proveedor ($/Unid)]]*data[[#This Row],[Cantidad]]</f>
        <v>0</v>
      </c>
      <c r="R304" s="28">
        <f>data[[#This Row],[Cantidad]]*data[[#This Row],[Precio de Venta Cliente ($/Unid)]]</f>
        <v>176.4</v>
      </c>
      <c r="S304" s="29"/>
      <c r="T304" s="106" t="s">
        <v>16</v>
      </c>
      <c r="U304" s="106"/>
      <c r="V304" s="30" t="s">
        <v>42</v>
      </c>
      <c r="W304" s="32" t="s">
        <v>42</v>
      </c>
      <c r="X304" s="106" t="s">
        <v>23</v>
      </c>
      <c r="Y304" s="106" t="s">
        <v>23</v>
      </c>
      <c r="Z304" s="106" t="s">
        <v>504</v>
      </c>
      <c r="AA304" s="5"/>
    </row>
    <row r="305" spans="2:27" s="10" customFormat="1" ht="15.75" x14ac:dyDescent="0.25">
      <c r="B305" s="174"/>
      <c r="C305" s="174" t="str">
        <f>TEXT(data[[#This Row],[Fecha de Envío
Cotización]],"MMMM")</f>
        <v>abril</v>
      </c>
      <c r="D305" s="174">
        <v>44309</v>
      </c>
      <c r="E305" s="174" t="str">
        <f>IF(data[[#This Row],[Estatus de 
Cotización]]="PERDIDO","N/A","")</f>
        <v>N/A</v>
      </c>
      <c r="F305" s="174"/>
      <c r="G305" s="109"/>
      <c r="H305" s="174"/>
      <c r="I305" s="86">
        <v>511944</v>
      </c>
      <c r="J305" s="87">
        <v>2606</v>
      </c>
      <c r="K305" s="24" t="s">
        <v>138</v>
      </c>
      <c r="L305" s="106"/>
      <c r="M305" s="108" t="s">
        <v>881</v>
      </c>
      <c r="N305" s="106">
        <v>1</v>
      </c>
      <c r="O305" s="107"/>
      <c r="P305" s="107">
        <v>249.14</v>
      </c>
      <c r="Q305" s="28">
        <f>data[[#This Row],[Costo Producto
Proveedor ($/Unid)]]*data[[#This Row],[Cantidad]]</f>
        <v>0</v>
      </c>
      <c r="R305" s="28">
        <f>data[[#This Row],[Cantidad]]*data[[#This Row],[Precio de Venta Cliente ($/Unid)]]</f>
        <v>249.14</v>
      </c>
      <c r="S305" s="29"/>
      <c r="T305" s="106" t="s">
        <v>16</v>
      </c>
      <c r="U305" s="106"/>
      <c r="V305" s="30" t="s">
        <v>42</v>
      </c>
      <c r="W305" s="32" t="s">
        <v>42</v>
      </c>
      <c r="X305" s="106" t="s">
        <v>23</v>
      </c>
      <c r="Y305" s="106" t="s">
        <v>23</v>
      </c>
      <c r="Z305" s="106" t="s">
        <v>504</v>
      </c>
      <c r="AA305" s="5"/>
    </row>
    <row r="306" spans="2:27" s="10" customFormat="1" ht="15.75" x14ac:dyDescent="0.25">
      <c r="B306" s="174"/>
      <c r="C306" s="174" t="str">
        <f>TEXT(data[[#This Row],[Fecha de Envío
Cotización]],"MMMM")</f>
        <v>abril</v>
      </c>
      <c r="D306" s="174">
        <v>44309</v>
      </c>
      <c r="E306" s="174" t="str">
        <f>IF(data[[#This Row],[Estatus de 
Cotización]]="PERDIDO","N/A","")</f>
        <v>N/A</v>
      </c>
      <c r="F306" s="174"/>
      <c r="G306" s="109"/>
      <c r="H306" s="174"/>
      <c r="I306" s="86">
        <v>511945</v>
      </c>
      <c r="J306" s="87">
        <v>2606</v>
      </c>
      <c r="K306" s="24" t="s">
        <v>138</v>
      </c>
      <c r="L306" s="106"/>
      <c r="M306" s="108" t="s">
        <v>882</v>
      </c>
      <c r="N306" s="106">
        <v>1</v>
      </c>
      <c r="O306" s="107"/>
      <c r="P306" s="107">
        <v>2469.89</v>
      </c>
      <c r="Q306" s="28">
        <f>data[[#This Row],[Costo Producto
Proveedor ($/Unid)]]*data[[#This Row],[Cantidad]]</f>
        <v>0</v>
      </c>
      <c r="R306" s="28">
        <f>data[[#This Row],[Cantidad]]*data[[#This Row],[Precio de Venta Cliente ($/Unid)]]</f>
        <v>2469.89</v>
      </c>
      <c r="S306" s="29"/>
      <c r="T306" s="106" t="s">
        <v>16</v>
      </c>
      <c r="U306" s="106"/>
      <c r="V306" s="30" t="s">
        <v>42</v>
      </c>
      <c r="W306" s="32" t="s">
        <v>42</v>
      </c>
      <c r="X306" s="106" t="s">
        <v>23</v>
      </c>
      <c r="Y306" s="106" t="s">
        <v>23</v>
      </c>
      <c r="Z306" s="106" t="s">
        <v>504</v>
      </c>
      <c r="AA306" s="5"/>
    </row>
    <row r="307" spans="2:27" s="10" customFormat="1" ht="15.75" x14ac:dyDescent="0.25">
      <c r="B307" s="23"/>
      <c r="C307" s="174" t="str">
        <f>TEXT(data[[#This Row],[Fecha de Envío
Cotización]],"MMMM")</f>
        <v>abril</v>
      </c>
      <c r="D307" s="23">
        <v>44309</v>
      </c>
      <c r="E307" s="23" t="str">
        <f>IF(data[[#This Row],[Estatus de 
Cotización]]="PERDIDO","N/A","")</f>
        <v>N/A</v>
      </c>
      <c r="F307" s="23"/>
      <c r="G307" s="109"/>
      <c r="H307" s="23"/>
      <c r="I307" s="86">
        <v>511946</v>
      </c>
      <c r="J307" s="87">
        <v>2607</v>
      </c>
      <c r="K307" s="24" t="s">
        <v>138</v>
      </c>
      <c r="L307" s="22"/>
      <c r="M307" s="25" t="s">
        <v>883</v>
      </c>
      <c r="N307" s="22">
        <v>1</v>
      </c>
      <c r="O307" s="26"/>
      <c r="P307" s="107">
        <v>169.2</v>
      </c>
      <c r="Q307" s="28">
        <f>data[[#This Row],[Costo Producto
Proveedor ($/Unid)]]*data[[#This Row],[Cantidad]]</f>
        <v>0</v>
      </c>
      <c r="R307" s="28">
        <f>data[[#This Row],[Cantidad]]*data[[#This Row],[Precio de Venta Cliente ($/Unid)]]</f>
        <v>169.2</v>
      </c>
      <c r="S307" s="29"/>
      <c r="T307" s="106" t="s">
        <v>119</v>
      </c>
      <c r="U307" s="106"/>
      <c r="V307" s="30" t="s">
        <v>42</v>
      </c>
      <c r="W307" s="32" t="s">
        <v>42</v>
      </c>
      <c r="X307" s="106" t="s">
        <v>23</v>
      </c>
      <c r="Y307" s="106" t="s">
        <v>23</v>
      </c>
      <c r="Z307" s="22" t="s">
        <v>504</v>
      </c>
      <c r="AA307" s="5"/>
    </row>
    <row r="308" spans="2:27" s="10" customFormat="1" ht="15.75" x14ac:dyDescent="0.25">
      <c r="B308" s="23"/>
      <c r="C308" s="174" t="str">
        <f>TEXT(data[[#This Row],[Fecha de Envío
Cotización]],"MMMM")</f>
        <v>abril</v>
      </c>
      <c r="D308" s="23">
        <v>44309</v>
      </c>
      <c r="E308" s="174" t="str">
        <f>IF(data[[#This Row],[Estatus de 
Cotización]]="PERDIDO","N/A","")</f>
        <v>N/A</v>
      </c>
      <c r="F308" s="23"/>
      <c r="G308" s="109"/>
      <c r="H308" s="23"/>
      <c r="I308" s="86">
        <v>511947</v>
      </c>
      <c r="J308" s="87">
        <v>2607</v>
      </c>
      <c r="K308" s="24" t="s">
        <v>138</v>
      </c>
      <c r="L308" s="22"/>
      <c r="M308" s="25" t="s">
        <v>884</v>
      </c>
      <c r="N308" s="22">
        <v>1</v>
      </c>
      <c r="O308" s="26"/>
      <c r="P308" s="107">
        <v>169.2</v>
      </c>
      <c r="Q308" s="28">
        <f>data[[#This Row],[Costo Producto
Proveedor ($/Unid)]]*data[[#This Row],[Cantidad]]</f>
        <v>0</v>
      </c>
      <c r="R308" s="28">
        <f>data[[#This Row],[Cantidad]]*data[[#This Row],[Precio de Venta Cliente ($/Unid)]]</f>
        <v>169.2</v>
      </c>
      <c r="S308" s="29"/>
      <c r="T308" s="106" t="s">
        <v>119</v>
      </c>
      <c r="U308" s="106"/>
      <c r="V308" s="30" t="s">
        <v>42</v>
      </c>
      <c r="W308" s="32" t="s">
        <v>42</v>
      </c>
      <c r="X308" s="106" t="s">
        <v>23</v>
      </c>
      <c r="Y308" s="106" t="s">
        <v>23</v>
      </c>
      <c r="Z308" s="22" t="s">
        <v>504</v>
      </c>
      <c r="AA308" s="5"/>
    </row>
    <row r="309" spans="2:27" s="10" customFormat="1" ht="15.75" x14ac:dyDescent="0.25">
      <c r="B309" s="23"/>
      <c r="C309" s="174" t="str">
        <f>TEXT(data[[#This Row],[Fecha de Envío
Cotización]],"MMMM")</f>
        <v>abril</v>
      </c>
      <c r="D309" s="23">
        <v>44309</v>
      </c>
      <c r="E309" s="174" t="str">
        <f>IF(data[[#This Row],[Estatus de 
Cotización]]="PERDIDO","N/A","")</f>
        <v>N/A</v>
      </c>
      <c r="F309" s="23"/>
      <c r="G309" s="109"/>
      <c r="H309" s="23"/>
      <c r="I309" s="86">
        <v>511948</v>
      </c>
      <c r="J309" s="87">
        <v>2607</v>
      </c>
      <c r="K309" s="24" t="s">
        <v>138</v>
      </c>
      <c r="L309" s="22"/>
      <c r="M309" s="25" t="s">
        <v>885</v>
      </c>
      <c r="N309" s="22">
        <v>1</v>
      </c>
      <c r="O309" s="26"/>
      <c r="P309" s="107">
        <v>180</v>
      </c>
      <c r="Q309" s="28">
        <f>data[[#This Row],[Costo Producto
Proveedor ($/Unid)]]*data[[#This Row],[Cantidad]]</f>
        <v>0</v>
      </c>
      <c r="R309" s="28">
        <f>data[[#This Row],[Cantidad]]*data[[#This Row],[Precio de Venta Cliente ($/Unid)]]</f>
        <v>180</v>
      </c>
      <c r="S309" s="29"/>
      <c r="T309" s="106" t="s">
        <v>119</v>
      </c>
      <c r="U309" s="106"/>
      <c r="V309" s="30" t="s">
        <v>42</v>
      </c>
      <c r="W309" s="32" t="s">
        <v>42</v>
      </c>
      <c r="X309" s="106" t="s">
        <v>23</v>
      </c>
      <c r="Y309" s="106" t="s">
        <v>23</v>
      </c>
      <c r="Z309" s="22" t="s">
        <v>504</v>
      </c>
      <c r="AA309" s="5"/>
    </row>
    <row r="310" spans="2:27" s="10" customFormat="1" ht="15.75" x14ac:dyDescent="0.25">
      <c r="B310" s="23"/>
      <c r="C310" s="174" t="str">
        <f>TEXT(data[[#This Row],[Fecha de Envío
Cotización]],"MMMM")</f>
        <v>abril</v>
      </c>
      <c r="D310" s="23">
        <v>44309</v>
      </c>
      <c r="E310" s="56" t="str">
        <f>IF(data[[#This Row],[Estatus de 
Cotización]]="PERDIDO","N/A","")</f>
        <v>N/A</v>
      </c>
      <c r="F310" s="23"/>
      <c r="G310" s="109"/>
      <c r="H310" s="23"/>
      <c r="I310" s="86">
        <v>511949</v>
      </c>
      <c r="J310" s="87">
        <v>2607</v>
      </c>
      <c r="K310" s="24" t="s">
        <v>138</v>
      </c>
      <c r="L310" s="22"/>
      <c r="M310" s="108" t="s">
        <v>886</v>
      </c>
      <c r="N310" s="22">
        <v>1</v>
      </c>
      <c r="O310" s="26"/>
      <c r="P310" s="107">
        <v>142.19999999999999</v>
      </c>
      <c r="Q310" s="28">
        <f>data[[#This Row],[Costo Producto
Proveedor ($/Unid)]]*data[[#This Row],[Cantidad]]</f>
        <v>0</v>
      </c>
      <c r="R310" s="28">
        <f>data[[#This Row],[Cantidad]]*data[[#This Row],[Precio de Venta Cliente ($/Unid)]]</f>
        <v>142.19999999999999</v>
      </c>
      <c r="S310" s="29"/>
      <c r="T310" s="106" t="s">
        <v>119</v>
      </c>
      <c r="U310" s="106"/>
      <c r="V310" s="30" t="s">
        <v>42</v>
      </c>
      <c r="W310" s="32" t="s">
        <v>42</v>
      </c>
      <c r="X310" s="106" t="s">
        <v>23</v>
      </c>
      <c r="Y310" s="106" t="s">
        <v>23</v>
      </c>
      <c r="Z310" s="22" t="s">
        <v>504</v>
      </c>
      <c r="AA310" s="5"/>
    </row>
    <row r="311" spans="2:27" s="10" customFormat="1" ht="15.75" x14ac:dyDescent="0.25">
      <c r="B311" s="23"/>
      <c r="C311" s="174" t="str">
        <f>TEXT(data[[#This Row],[Fecha de Envío
Cotización]],"MMMM")</f>
        <v>abril</v>
      </c>
      <c r="D311" s="23">
        <v>44309</v>
      </c>
      <c r="E311" s="23" t="str">
        <f>IF(data[[#This Row],[Estatus de 
Cotización]]="PERDIDO","N/A","")</f>
        <v>N/A</v>
      </c>
      <c r="F311" s="23"/>
      <c r="G311" s="109"/>
      <c r="H311" s="23"/>
      <c r="I311" s="86">
        <v>511950</v>
      </c>
      <c r="J311" s="87">
        <v>2607</v>
      </c>
      <c r="K311" s="24" t="s">
        <v>138</v>
      </c>
      <c r="L311" s="22"/>
      <c r="M311" s="108" t="s">
        <v>887</v>
      </c>
      <c r="N311" s="22">
        <v>1</v>
      </c>
      <c r="O311" s="26"/>
      <c r="P311" s="107">
        <v>180</v>
      </c>
      <c r="Q311" s="28">
        <f>data[[#This Row],[Costo Producto
Proveedor ($/Unid)]]*data[[#This Row],[Cantidad]]</f>
        <v>0</v>
      </c>
      <c r="R311" s="28">
        <f>data[[#This Row],[Cantidad]]*data[[#This Row],[Precio de Venta Cliente ($/Unid)]]</f>
        <v>180</v>
      </c>
      <c r="S311" s="29"/>
      <c r="T311" s="106" t="s">
        <v>119</v>
      </c>
      <c r="U311" s="106"/>
      <c r="V311" s="30" t="s">
        <v>42</v>
      </c>
      <c r="W311" s="32" t="s">
        <v>42</v>
      </c>
      <c r="X311" s="106" t="s">
        <v>23</v>
      </c>
      <c r="Y311" s="106" t="s">
        <v>23</v>
      </c>
      <c r="Z311" s="22" t="s">
        <v>504</v>
      </c>
      <c r="AA311" s="5"/>
    </row>
    <row r="312" spans="2:27" s="10" customFormat="1" ht="15.75" x14ac:dyDescent="0.25">
      <c r="B312" s="23"/>
      <c r="C312" s="174" t="str">
        <f>TEXT(data[[#This Row],[Fecha de Envío
Cotización]],"MMMM")</f>
        <v>abril</v>
      </c>
      <c r="D312" s="23">
        <v>44309</v>
      </c>
      <c r="E312" s="23" t="str">
        <f>IF(data[[#This Row],[Estatus de 
Cotización]]="PERDIDO","N/A","")</f>
        <v>N/A</v>
      </c>
      <c r="F312" s="23"/>
      <c r="G312" s="109"/>
      <c r="H312" s="23"/>
      <c r="I312" s="86">
        <v>511951</v>
      </c>
      <c r="J312" s="87">
        <v>2607</v>
      </c>
      <c r="K312" s="24" t="s">
        <v>138</v>
      </c>
      <c r="L312" s="22"/>
      <c r="M312" s="108" t="s">
        <v>888</v>
      </c>
      <c r="N312" s="22">
        <v>1</v>
      </c>
      <c r="O312" s="26"/>
      <c r="P312" s="107">
        <v>2835</v>
      </c>
      <c r="Q312" s="28">
        <f>data[[#This Row],[Costo Producto
Proveedor ($/Unid)]]*data[[#This Row],[Cantidad]]</f>
        <v>0</v>
      </c>
      <c r="R312" s="28">
        <f>data[[#This Row],[Cantidad]]*data[[#This Row],[Precio de Venta Cliente ($/Unid)]]</f>
        <v>2835</v>
      </c>
      <c r="S312" s="29"/>
      <c r="T312" s="106" t="s">
        <v>119</v>
      </c>
      <c r="U312" s="106"/>
      <c r="V312" s="30" t="s">
        <v>42</v>
      </c>
      <c r="W312" s="32" t="s">
        <v>42</v>
      </c>
      <c r="X312" s="106" t="s">
        <v>23</v>
      </c>
      <c r="Y312" s="106" t="s">
        <v>23</v>
      </c>
      <c r="Z312" s="22" t="s">
        <v>504</v>
      </c>
      <c r="AA312" s="5"/>
    </row>
    <row r="313" spans="2:27" s="10" customFormat="1" ht="15.75" x14ac:dyDescent="0.25">
      <c r="B313" s="23"/>
      <c r="C313" s="174" t="str">
        <f>TEXT(data[[#This Row],[Fecha de Envío
Cotización]],"MMMM")</f>
        <v>abril</v>
      </c>
      <c r="D313" s="23">
        <v>44309</v>
      </c>
      <c r="E313" s="23" t="str">
        <f>IF(data[[#This Row],[Estatus de 
Cotización]]="PERDIDO","N/A","")</f>
        <v>N/A</v>
      </c>
      <c r="F313" s="23"/>
      <c r="G313" s="109"/>
      <c r="H313" s="23"/>
      <c r="I313" s="86">
        <v>511952</v>
      </c>
      <c r="J313" s="87">
        <v>2607</v>
      </c>
      <c r="K313" s="24" t="s">
        <v>138</v>
      </c>
      <c r="L313" s="22"/>
      <c r="M313" s="108" t="s">
        <v>889</v>
      </c>
      <c r="N313" s="22">
        <v>5</v>
      </c>
      <c r="O313" s="26"/>
      <c r="P313" s="107">
        <v>37.950000000000003</v>
      </c>
      <c r="Q313" s="28">
        <f>data[[#This Row],[Costo Producto
Proveedor ($/Unid)]]*data[[#This Row],[Cantidad]]</f>
        <v>0</v>
      </c>
      <c r="R313" s="28">
        <f>data[[#This Row],[Cantidad]]*data[[#This Row],[Precio de Venta Cliente ($/Unid)]]</f>
        <v>189.75</v>
      </c>
      <c r="S313" s="29"/>
      <c r="T313" s="106" t="s">
        <v>119</v>
      </c>
      <c r="U313" s="106"/>
      <c r="V313" s="30" t="s">
        <v>42</v>
      </c>
      <c r="W313" s="32" t="s">
        <v>42</v>
      </c>
      <c r="X313" s="106" t="s">
        <v>23</v>
      </c>
      <c r="Y313" s="106" t="s">
        <v>23</v>
      </c>
      <c r="Z313" s="22" t="s">
        <v>504</v>
      </c>
      <c r="AA313" s="5"/>
    </row>
    <row r="314" spans="2:27" s="10" customFormat="1" ht="15.75" x14ac:dyDescent="0.25">
      <c r="B314" s="174"/>
      <c r="C314" s="174" t="str">
        <f>TEXT(data[[#This Row],[Fecha de Envío
Cotización]],"MMMM")</f>
        <v>abril</v>
      </c>
      <c r="D314" s="174">
        <v>44309</v>
      </c>
      <c r="E314" s="174" t="str">
        <f>IF(data[[#This Row],[Estatus de 
Cotización]]="PERDIDO","N/A","")</f>
        <v>N/A</v>
      </c>
      <c r="F314" s="174"/>
      <c r="G314" s="109"/>
      <c r="H314" s="174"/>
      <c r="I314" s="86">
        <v>511953</v>
      </c>
      <c r="J314" s="87">
        <v>2608</v>
      </c>
      <c r="K314" s="24" t="s">
        <v>534</v>
      </c>
      <c r="L314" s="106"/>
      <c r="M314" s="108" t="s">
        <v>890</v>
      </c>
      <c r="N314" s="106">
        <v>2</v>
      </c>
      <c r="O314" s="107"/>
      <c r="P314" s="107">
        <v>8.2799999999999994</v>
      </c>
      <c r="Q314" s="28">
        <f>data[[#This Row],[Costo Producto
Proveedor ($/Unid)]]*data[[#This Row],[Cantidad]]</f>
        <v>0</v>
      </c>
      <c r="R314" s="28">
        <f>data[[#This Row],[Cantidad]]*data[[#This Row],[Precio de Venta Cliente ($/Unid)]]</f>
        <v>16.559999999999999</v>
      </c>
      <c r="S314" s="29"/>
      <c r="T314" s="106" t="s">
        <v>119</v>
      </c>
      <c r="U314" s="106"/>
      <c r="V314" s="30" t="s">
        <v>42</v>
      </c>
      <c r="W314" s="32" t="s">
        <v>42</v>
      </c>
      <c r="X314" s="106" t="s">
        <v>23</v>
      </c>
      <c r="Y314" s="106" t="s">
        <v>23</v>
      </c>
      <c r="Z314" s="106" t="s">
        <v>504</v>
      </c>
      <c r="AA314" s="5"/>
    </row>
    <row r="315" spans="2:27" s="10" customFormat="1" ht="15.75" x14ac:dyDescent="0.25">
      <c r="B315" s="174"/>
      <c r="C315" s="174" t="str">
        <f>TEXT(data[[#This Row],[Fecha de Envío
Cotización]],"MMMM")</f>
        <v>abril</v>
      </c>
      <c r="D315" s="174">
        <v>44309</v>
      </c>
      <c r="E315" s="23" t="str">
        <f>IF(data[[#This Row],[Estatus de 
Cotización]]="PERDIDO","N/A","")</f>
        <v>N/A</v>
      </c>
      <c r="F315" s="174"/>
      <c r="G315" s="109"/>
      <c r="H315" s="174"/>
      <c r="I315" s="86">
        <v>511954</v>
      </c>
      <c r="J315" s="87">
        <v>2608</v>
      </c>
      <c r="K315" s="24" t="s">
        <v>534</v>
      </c>
      <c r="L315" s="106"/>
      <c r="M315" s="108" t="s">
        <v>891</v>
      </c>
      <c r="N315" s="106">
        <v>1</v>
      </c>
      <c r="O315" s="107"/>
      <c r="P315" s="107">
        <v>34.159999999999997</v>
      </c>
      <c r="Q315" s="28">
        <f>data[[#This Row],[Costo Producto
Proveedor ($/Unid)]]*data[[#This Row],[Cantidad]]</f>
        <v>0</v>
      </c>
      <c r="R315" s="28">
        <f>data[[#This Row],[Cantidad]]*data[[#This Row],[Precio de Venta Cliente ($/Unid)]]</f>
        <v>34.159999999999997</v>
      </c>
      <c r="S315" s="29"/>
      <c r="T315" s="106" t="s">
        <v>119</v>
      </c>
      <c r="U315" s="106"/>
      <c r="V315" s="30" t="s">
        <v>42</v>
      </c>
      <c r="W315" s="32" t="s">
        <v>42</v>
      </c>
      <c r="X315" s="106" t="s">
        <v>23</v>
      </c>
      <c r="Y315" s="106" t="s">
        <v>23</v>
      </c>
      <c r="Z315" s="106" t="s">
        <v>504</v>
      </c>
      <c r="AA315" s="5"/>
    </row>
    <row r="316" spans="2:27" s="10" customFormat="1" ht="15.75" x14ac:dyDescent="0.25">
      <c r="B316" s="23"/>
      <c r="C316" s="174" t="str">
        <f>TEXT(data[[#This Row],[Fecha de Envío
Cotización]],"MMMM")</f>
        <v>abril</v>
      </c>
      <c r="D316" s="23">
        <v>44309</v>
      </c>
      <c r="E316" s="23" t="str">
        <f>IF(data[[#This Row],[Estatus de 
Cotización]]="PERDIDO","N/A","")</f>
        <v>N/A</v>
      </c>
      <c r="F316" s="23"/>
      <c r="G316" s="109"/>
      <c r="H316" s="23"/>
      <c r="I316" s="86">
        <v>511955</v>
      </c>
      <c r="J316" s="87">
        <v>2608</v>
      </c>
      <c r="K316" s="24" t="s">
        <v>534</v>
      </c>
      <c r="L316" s="22"/>
      <c r="M316" s="108" t="s">
        <v>892</v>
      </c>
      <c r="N316" s="22">
        <v>2</v>
      </c>
      <c r="O316" s="26"/>
      <c r="P316" s="107">
        <v>5.03</v>
      </c>
      <c r="Q316" s="28">
        <f>data[[#This Row],[Costo Producto
Proveedor ($/Unid)]]*data[[#This Row],[Cantidad]]</f>
        <v>0</v>
      </c>
      <c r="R316" s="28">
        <f>data[[#This Row],[Cantidad]]*data[[#This Row],[Precio de Venta Cliente ($/Unid)]]</f>
        <v>10.06</v>
      </c>
      <c r="S316" s="29"/>
      <c r="T316" s="106" t="s">
        <v>119</v>
      </c>
      <c r="U316" s="106"/>
      <c r="V316" s="30" t="s">
        <v>42</v>
      </c>
      <c r="W316" s="32" t="s">
        <v>42</v>
      </c>
      <c r="X316" s="51" t="s">
        <v>23</v>
      </c>
      <c r="Y316" s="51" t="s">
        <v>23</v>
      </c>
      <c r="Z316" s="22" t="s">
        <v>504</v>
      </c>
      <c r="AA316" s="5"/>
    </row>
    <row r="317" spans="2:27" s="10" customFormat="1" ht="15.75" x14ac:dyDescent="0.25">
      <c r="B317" s="23"/>
      <c r="C317" s="174" t="str">
        <f>TEXT(data[[#This Row],[Fecha de Envío
Cotización]],"MMMM")</f>
        <v>abril</v>
      </c>
      <c r="D317" s="23">
        <v>44309</v>
      </c>
      <c r="E317" s="23" t="str">
        <f>IF(data[[#This Row],[Estatus de 
Cotización]]="PERDIDO","N/A","")</f>
        <v>N/A</v>
      </c>
      <c r="F317" s="23"/>
      <c r="G317" s="109"/>
      <c r="H317" s="23"/>
      <c r="I317" s="86">
        <v>511956</v>
      </c>
      <c r="J317" s="87">
        <v>2608</v>
      </c>
      <c r="K317" s="24" t="s">
        <v>534</v>
      </c>
      <c r="L317" s="22"/>
      <c r="M317" s="25" t="s">
        <v>893</v>
      </c>
      <c r="N317" s="22">
        <v>2</v>
      </c>
      <c r="O317" s="26"/>
      <c r="P317" s="107">
        <v>5.0599999999999996</v>
      </c>
      <c r="Q317" s="28">
        <f>data[[#This Row],[Costo Producto
Proveedor ($/Unid)]]*data[[#This Row],[Cantidad]]</f>
        <v>0</v>
      </c>
      <c r="R317" s="28">
        <f>data[[#This Row],[Cantidad]]*data[[#This Row],[Precio de Venta Cliente ($/Unid)]]</f>
        <v>10.119999999999999</v>
      </c>
      <c r="S317" s="29"/>
      <c r="T317" s="106" t="s">
        <v>119</v>
      </c>
      <c r="U317" s="106"/>
      <c r="V317" s="30" t="s">
        <v>42</v>
      </c>
      <c r="W317" s="32" t="s">
        <v>42</v>
      </c>
      <c r="X317" s="51" t="s">
        <v>23</v>
      </c>
      <c r="Y317" s="51" t="s">
        <v>23</v>
      </c>
      <c r="Z317" s="22" t="s">
        <v>504</v>
      </c>
      <c r="AA317" s="5"/>
    </row>
    <row r="318" spans="2:27" s="10" customFormat="1" ht="15.75" x14ac:dyDescent="0.25">
      <c r="B318" s="23"/>
      <c r="C318" s="174" t="str">
        <f>TEXT(data[[#This Row],[Fecha de Envío
Cotización]],"MMMM")</f>
        <v>abril</v>
      </c>
      <c r="D318" s="23">
        <v>44309</v>
      </c>
      <c r="E318" s="23" t="str">
        <f>IF(data[[#This Row],[Estatus de 
Cotización]]="PERDIDO","N/A","")</f>
        <v>N/A</v>
      </c>
      <c r="F318" s="23"/>
      <c r="G318" s="109"/>
      <c r="H318" s="23"/>
      <c r="I318" s="86">
        <v>511957</v>
      </c>
      <c r="J318" s="87">
        <v>2608</v>
      </c>
      <c r="K318" s="24" t="s">
        <v>534</v>
      </c>
      <c r="L318" s="22"/>
      <c r="M318" s="25" t="s">
        <v>894</v>
      </c>
      <c r="N318" s="22">
        <v>4</v>
      </c>
      <c r="O318" s="26"/>
      <c r="P318" s="107">
        <v>12.15</v>
      </c>
      <c r="Q318" s="28">
        <f>data[[#This Row],[Costo Producto
Proveedor ($/Unid)]]*data[[#This Row],[Cantidad]]</f>
        <v>0</v>
      </c>
      <c r="R318" s="28">
        <f>data[[#This Row],[Cantidad]]*data[[#This Row],[Precio de Venta Cliente ($/Unid)]]</f>
        <v>48.6</v>
      </c>
      <c r="S318" s="29"/>
      <c r="T318" s="106" t="s">
        <v>119</v>
      </c>
      <c r="U318" s="106"/>
      <c r="V318" s="30" t="s">
        <v>42</v>
      </c>
      <c r="W318" s="32" t="s">
        <v>42</v>
      </c>
      <c r="X318" s="51" t="s">
        <v>23</v>
      </c>
      <c r="Y318" s="51" t="s">
        <v>23</v>
      </c>
      <c r="Z318" s="22" t="s">
        <v>504</v>
      </c>
      <c r="AA318" s="5"/>
    </row>
    <row r="319" spans="2:27" s="10" customFormat="1" ht="15.75" x14ac:dyDescent="0.25">
      <c r="B319" s="174"/>
      <c r="C319" s="174" t="str">
        <f>TEXT(data[[#This Row],[Fecha de Envío
Cotización]],"MMMM")</f>
        <v>abril</v>
      </c>
      <c r="D319" s="174">
        <v>44309</v>
      </c>
      <c r="E319" s="174" t="str">
        <f>IF(data[[#This Row],[Estatus de 
Cotización]]="PERDIDO","N/A","")</f>
        <v>N/A</v>
      </c>
      <c r="F319" s="174"/>
      <c r="G319" s="109"/>
      <c r="H319" s="174"/>
      <c r="I319" s="86">
        <v>511958</v>
      </c>
      <c r="J319" s="87">
        <v>2608</v>
      </c>
      <c r="K319" s="24" t="s">
        <v>534</v>
      </c>
      <c r="L319" s="106"/>
      <c r="M319" s="108" t="s">
        <v>895</v>
      </c>
      <c r="N319" s="106">
        <v>2</v>
      </c>
      <c r="O319" s="107"/>
      <c r="P319" s="107">
        <v>30.27</v>
      </c>
      <c r="Q319" s="28">
        <f>data[[#This Row],[Costo Producto
Proveedor ($/Unid)]]*data[[#This Row],[Cantidad]]</f>
        <v>0</v>
      </c>
      <c r="R319" s="28">
        <f>data[[#This Row],[Cantidad]]*data[[#This Row],[Precio de Venta Cliente ($/Unid)]]</f>
        <v>60.54</v>
      </c>
      <c r="S319" s="29"/>
      <c r="T319" s="106" t="s">
        <v>119</v>
      </c>
      <c r="U319" s="106"/>
      <c r="V319" s="30" t="s">
        <v>42</v>
      </c>
      <c r="W319" s="32" t="s">
        <v>42</v>
      </c>
      <c r="X319" s="106" t="s">
        <v>23</v>
      </c>
      <c r="Y319" s="106" t="s">
        <v>23</v>
      </c>
      <c r="Z319" s="106" t="s">
        <v>504</v>
      </c>
      <c r="AA319" s="5"/>
    </row>
    <row r="320" spans="2:27" s="10" customFormat="1" ht="15.75" x14ac:dyDescent="0.25">
      <c r="B320" s="174"/>
      <c r="C320" s="174" t="str">
        <f>TEXT(data[[#This Row],[Fecha de Envío
Cotización]],"MMMM")</f>
        <v>abril</v>
      </c>
      <c r="D320" s="174">
        <v>44309</v>
      </c>
      <c r="E320" s="23" t="str">
        <f>IF(data[[#This Row],[Estatus de 
Cotización]]="PERDIDO","N/A","")</f>
        <v>N/A</v>
      </c>
      <c r="F320" s="174"/>
      <c r="G320" s="109"/>
      <c r="H320" s="174"/>
      <c r="I320" s="86">
        <v>511959</v>
      </c>
      <c r="J320" s="87">
        <v>2608</v>
      </c>
      <c r="K320" s="24" t="s">
        <v>534</v>
      </c>
      <c r="L320" s="106"/>
      <c r="M320" s="108" t="s">
        <v>896</v>
      </c>
      <c r="N320" s="106">
        <v>4</v>
      </c>
      <c r="O320" s="107"/>
      <c r="P320" s="107">
        <v>9.57</v>
      </c>
      <c r="Q320" s="28">
        <f>data[[#This Row],[Costo Producto
Proveedor ($/Unid)]]*data[[#This Row],[Cantidad]]</f>
        <v>0</v>
      </c>
      <c r="R320" s="28">
        <f>data[[#This Row],[Cantidad]]*data[[#This Row],[Precio de Venta Cliente ($/Unid)]]</f>
        <v>38.28</v>
      </c>
      <c r="S320" s="29"/>
      <c r="T320" s="106" t="s">
        <v>119</v>
      </c>
      <c r="U320" s="106"/>
      <c r="V320" s="30" t="s">
        <v>42</v>
      </c>
      <c r="W320" s="32" t="s">
        <v>42</v>
      </c>
      <c r="X320" s="106" t="s">
        <v>23</v>
      </c>
      <c r="Y320" s="106" t="s">
        <v>23</v>
      </c>
      <c r="Z320" s="106" t="s">
        <v>504</v>
      </c>
      <c r="AA320" s="5"/>
    </row>
    <row r="321" spans="2:27" s="10" customFormat="1" ht="15.75" x14ac:dyDescent="0.25">
      <c r="B321" s="23"/>
      <c r="C321" s="174" t="str">
        <f>TEXT(data[[#This Row],[Fecha de Envío
Cotización]],"MMMM")</f>
        <v>abril</v>
      </c>
      <c r="D321" s="23">
        <v>44309</v>
      </c>
      <c r="E321" s="23" t="str">
        <f>IF(data[[#This Row],[Estatus de 
Cotización]]="PERDIDO","N/A","")</f>
        <v>N/A</v>
      </c>
      <c r="F321" s="23"/>
      <c r="G321" s="109"/>
      <c r="H321" s="23"/>
      <c r="I321" s="86">
        <v>511960</v>
      </c>
      <c r="J321" s="87">
        <v>2608</v>
      </c>
      <c r="K321" s="24" t="s">
        <v>534</v>
      </c>
      <c r="L321" s="22"/>
      <c r="M321" s="108" t="s">
        <v>897</v>
      </c>
      <c r="N321" s="22">
        <v>3</v>
      </c>
      <c r="O321" s="26"/>
      <c r="P321" s="107">
        <v>17.37</v>
      </c>
      <c r="Q321" s="28">
        <f>data[[#This Row],[Costo Producto
Proveedor ($/Unid)]]*data[[#This Row],[Cantidad]]</f>
        <v>0</v>
      </c>
      <c r="R321" s="28">
        <f>data[[#This Row],[Cantidad]]*data[[#This Row],[Precio de Venta Cliente ($/Unid)]]</f>
        <v>52.11</v>
      </c>
      <c r="S321" s="29"/>
      <c r="T321" s="106" t="s">
        <v>119</v>
      </c>
      <c r="U321" s="106"/>
      <c r="V321" s="30" t="s">
        <v>42</v>
      </c>
      <c r="W321" s="32" t="s">
        <v>42</v>
      </c>
      <c r="X321" s="51" t="s">
        <v>23</v>
      </c>
      <c r="Y321" s="51" t="s">
        <v>23</v>
      </c>
      <c r="Z321" s="22" t="s">
        <v>504</v>
      </c>
      <c r="AA321" s="5"/>
    </row>
    <row r="322" spans="2:27" s="10" customFormat="1" ht="15.75" x14ac:dyDescent="0.25">
      <c r="B322" s="23"/>
      <c r="C322" s="174" t="str">
        <f>TEXT(data[[#This Row],[Fecha de Envío
Cotización]],"MMMM")</f>
        <v>abril</v>
      </c>
      <c r="D322" s="23">
        <v>44309</v>
      </c>
      <c r="E322" s="23" t="str">
        <f>IF(data[[#This Row],[Estatus de 
Cotización]]="PERDIDO","N/A","")</f>
        <v>N/A</v>
      </c>
      <c r="F322" s="23"/>
      <c r="G322" s="109"/>
      <c r="H322" s="23"/>
      <c r="I322" s="86">
        <v>511961</v>
      </c>
      <c r="J322" s="87">
        <v>2608</v>
      </c>
      <c r="K322" s="24" t="s">
        <v>534</v>
      </c>
      <c r="L322" s="22"/>
      <c r="M322" s="108" t="s">
        <v>898</v>
      </c>
      <c r="N322" s="22">
        <v>3</v>
      </c>
      <c r="O322" s="26"/>
      <c r="P322" s="107">
        <v>6.97</v>
      </c>
      <c r="Q322" s="28">
        <f>data[[#This Row],[Costo Producto
Proveedor ($/Unid)]]*data[[#This Row],[Cantidad]]</f>
        <v>0</v>
      </c>
      <c r="R322" s="28">
        <f>data[[#This Row],[Cantidad]]*data[[#This Row],[Precio de Venta Cliente ($/Unid)]]</f>
        <v>20.91</v>
      </c>
      <c r="S322" s="29"/>
      <c r="T322" s="106" t="s">
        <v>119</v>
      </c>
      <c r="U322" s="106"/>
      <c r="V322" s="30" t="s">
        <v>42</v>
      </c>
      <c r="W322" s="32" t="s">
        <v>42</v>
      </c>
      <c r="X322" s="51" t="s">
        <v>23</v>
      </c>
      <c r="Y322" s="51" t="s">
        <v>23</v>
      </c>
      <c r="Z322" s="22" t="s">
        <v>504</v>
      </c>
      <c r="AA322" s="5"/>
    </row>
    <row r="323" spans="2:27" s="10" customFormat="1" ht="15.75" x14ac:dyDescent="0.25">
      <c r="B323" s="174"/>
      <c r="C323" s="174" t="str">
        <f>TEXT(data[[#This Row],[Fecha de Envío
Cotización]],"MMMM")</f>
        <v>abril</v>
      </c>
      <c r="D323" s="174">
        <v>44309</v>
      </c>
      <c r="E323" s="23" t="str">
        <f>IF(data[[#This Row],[Estatus de 
Cotización]]="PERDIDO","N/A","")</f>
        <v>N/A</v>
      </c>
      <c r="F323" s="174"/>
      <c r="G323" s="109"/>
      <c r="H323" s="174"/>
      <c r="I323" s="86">
        <v>511962</v>
      </c>
      <c r="J323" s="87">
        <v>2609</v>
      </c>
      <c r="K323" s="24" t="s">
        <v>534</v>
      </c>
      <c r="L323" s="106"/>
      <c r="M323" s="108" t="s">
        <v>899</v>
      </c>
      <c r="N323" s="106">
        <v>2</v>
      </c>
      <c r="O323" s="107"/>
      <c r="P323" s="107">
        <v>7.9</v>
      </c>
      <c r="Q323" s="28">
        <f>data[[#This Row],[Costo Producto
Proveedor ($/Unid)]]*data[[#This Row],[Cantidad]]</f>
        <v>0</v>
      </c>
      <c r="R323" s="28">
        <f>data[[#This Row],[Cantidad]]*data[[#This Row],[Precio de Venta Cliente ($/Unid)]]</f>
        <v>15.8</v>
      </c>
      <c r="S323" s="29"/>
      <c r="T323" s="106" t="s">
        <v>119</v>
      </c>
      <c r="U323" s="106"/>
      <c r="V323" s="30" t="s">
        <v>42</v>
      </c>
      <c r="W323" s="32" t="s">
        <v>42</v>
      </c>
      <c r="X323" s="106" t="s">
        <v>23</v>
      </c>
      <c r="Y323" s="106" t="s">
        <v>23</v>
      </c>
      <c r="Z323" s="106" t="s">
        <v>504</v>
      </c>
      <c r="AA323" s="5"/>
    </row>
    <row r="324" spans="2:27" s="10" customFormat="1" ht="15.75" x14ac:dyDescent="0.25">
      <c r="B324" s="174"/>
      <c r="C324" s="174" t="str">
        <f>TEXT(data[[#This Row],[Fecha de Envío
Cotización]],"MMMM")</f>
        <v>abril</v>
      </c>
      <c r="D324" s="174">
        <v>44309</v>
      </c>
      <c r="E324" s="23" t="str">
        <f>IF(data[[#This Row],[Estatus de 
Cotización]]="PERDIDO","N/A","")</f>
        <v>N/A</v>
      </c>
      <c r="F324" s="174"/>
      <c r="G324" s="109"/>
      <c r="H324" s="174"/>
      <c r="I324" s="86">
        <v>511963</v>
      </c>
      <c r="J324" s="87">
        <v>2609</v>
      </c>
      <c r="K324" s="24" t="s">
        <v>534</v>
      </c>
      <c r="L324" s="106"/>
      <c r="M324" s="108" t="s">
        <v>894</v>
      </c>
      <c r="N324" s="106">
        <v>4</v>
      </c>
      <c r="O324" s="107"/>
      <c r="P324" s="107">
        <v>11.77</v>
      </c>
      <c r="Q324" s="28">
        <f>data[[#This Row],[Costo Producto
Proveedor ($/Unid)]]*data[[#This Row],[Cantidad]]</f>
        <v>0</v>
      </c>
      <c r="R324" s="28">
        <f>data[[#This Row],[Cantidad]]*data[[#This Row],[Precio de Venta Cliente ($/Unid)]]</f>
        <v>47.08</v>
      </c>
      <c r="S324" s="29"/>
      <c r="T324" s="106" t="s">
        <v>119</v>
      </c>
      <c r="U324" s="106"/>
      <c r="V324" s="30" t="s">
        <v>42</v>
      </c>
      <c r="W324" s="32" t="s">
        <v>42</v>
      </c>
      <c r="X324" s="106" t="s">
        <v>23</v>
      </c>
      <c r="Y324" s="106" t="s">
        <v>23</v>
      </c>
      <c r="Z324" s="106" t="s">
        <v>504</v>
      </c>
      <c r="AA324" s="5"/>
    </row>
    <row r="325" spans="2:27" s="10" customFormat="1" ht="15.75" x14ac:dyDescent="0.25">
      <c r="B325" s="23"/>
      <c r="C325" s="174" t="str">
        <f>TEXT(data[[#This Row],[Fecha de Envío
Cotización]],"MMMM")</f>
        <v>abril</v>
      </c>
      <c r="D325" s="23">
        <v>44309</v>
      </c>
      <c r="E325" s="23" t="str">
        <f>IF(data[[#This Row],[Estatus de 
Cotización]]="PERDIDO","N/A","")</f>
        <v>N/A</v>
      </c>
      <c r="F325" s="23"/>
      <c r="G325" s="109"/>
      <c r="H325" s="23"/>
      <c r="I325" s="86">
        <v>511964</v>
      </c>
      <c r="J325" s="87">
        <v>2609</v>
      </c>
      <c r="K325" s="24" t="s">
        <v>534</v>
      </c>
      <c r="L325" s="22"/>
      <c r="M325" s="108" t="s">
        <v>900</v>
      </c>
      <c r="N325" s="22">
        <v>2</v>
      </c>
      <c r="O325" s="26"/>
      <c r="P325" s="107">
        <v>29.9</v>
      </c>
      <c r="Q325" s="28">
        <f>data[[#This Row],[Costo Producto
Proveedor ($/Unid)]]*data[[#This Row],[Cantidad]]</f>
        <v>0</v>
      </c>
      <c r="R325" s="28">
        <f>data[[#This Row],[Cantidad]]*data[[#This Row],[Precio de Venta Cliente ($/Unid)]]</f>
        <v>59.8</v>
      </c>
      <c r="S325" s="29"/>
      <c r="T325" s="22" t="s">
        <v>119</v>
      </c>
      <c r="U325" s="22"/>
      <c r="V325" s="30" t="s">
        <v>42</v>
      </c>
      <c r="W325" s="32" t="s">
        <v>42</v>
      </c>
      <c r="X325" s="51" t="s">
        <v>23</v>
      </c>
      <c r="Y325" s="51" t="s">
        <v>23</v>
      </c>
      <c r="Z325" s="22" t="s">
        <v>504</v>
      </c>
      <c r="AA325" s="5"/>
    </row>
    <row r="326" spans="2:27" s="10" customFormat="1" ht="15.75" x14ac:dyDescent="0.25">
      <c r="B326" s="23"/>
      <c r="C326" s="174" t="str">
        <f>TEXT(data[[#This Row],[Fecha de Envío
Cotización]],"MMMM")</f>
        <v>abril</v>
      </c>
      <c r="D326" s="23">
        <v>44309</v>
      </c>
      <c r="E326" s="23" t="str">
        <f>IF(data[[#This Row],[Estatus de 
Cotización]]="PERDIDO","N/A","")</f>
        <v>N/A</v>
      </c>
      <c r="F326" s="23"/>
      <c r="G326" s="109"/>
      <c r="H326" s="23"/>
      <c r="I326" s="86">
        <v>511965</v>
      </c>
      <c r="J326" s="87">
        <v>2609</v>
      </c>
      <c r="K326" s="24" t="s">
        <v>534</v>
      </c>
      <c r="L326" s="22"/>
      <c r="M326" s="108" t="s">
        <v>901</v>
      </c>
      <c r="N326" s="22">
        <v>1</v>
      </c>
      <c r="O326" s="26"/>
      <c r="P326" s="107">
        <v>9.6999999999999993</v>
      </c>
      <c r="Q326" s="28">
        <f>data[[#This Row],[Costo Producto
Proveedor ($/Unid)]]*data[[#This Row],[Cantidad]]</f>
        <v>0</v>
      </c>
      <c r="R326" s="28">
        <f>data[[#This Row],[Cantidad]]*data[[#This Row],[Precio de Venta Cliente ($/Unid)]]</f>
        <v>9.6999999999999993</v>
      </c>
      <c r="S326" s="29"/>
      <c r="T326" s="22" t="s">
        <v>119</v>
      </c>
      <c r="U326" s="22"/>
      <c r="V326" s="30" t="s">
        <v>42</v>
      </c>
      <c r="W326" s="32" t="s">
        <v>42</v>
      </c>
      <c r="X326" s="51" t="s">
        <v>23</v>
      </c>
      <c r="Y326" s="51" t="s">
        <v>23</v>
      </c>
      <c r="Z326" s="22" t="s">
        <v>504</v>
      </c>
      <c r="AA326" s="5"/>
    </row>
    <row r="327" spans="2:27" s="38" customFormat="1" ht="15.75" x14ac:dyDescent="0.25">
      <c r="B327" s="23"/>
      <c r="C327" s="174" t="str">
        <f>TEXT(data[[#This Row],[Fecha de Envío
Cotización]],"MMMM")</f>
        <v>abril</v>
      </c>
      <c r="D327" s="23">
        <v>44309</v>
      </c>
      <c r="E327" s="23" t="str">
        <f>IF(data[[#This Row],[Estatus de 
Cotización]]="PERDIDO","N/A","")</f>
        <v>N/A</v>
      </c>
      <c r="F327" s="23"/>
      <c r="G327" s="109"/>
      <c r="H327" s="23"/>
      <c r="I327" s="86">
        <v>511966</v>
      </c>
      <c r="J327" s="87">
        <v>2609</v>
      </c>
      <c r="K327" s="24" t="s">
        <v>534</v>
      </c>
      <c r="L327" s="39"/>
      <c r="M327" s="108" t="s">
        <v>902</v>
      </c>
      <c r="N327" s="39">
        <v>4</v>
      </c>
      <c r="O327" s="40"/>
      <c r="P327" s="107">
        <v>9.6999999999999993</v>
      </c>
      <c r="Q327" s="28">
        <f>data[[#This Row],[Costo Producto
Proveedor ($/Unid)]]*data[[#This Row],[Cantidad]]</f>
        <v>0</v>
      </c>
      <c r="R327" s="28">
        <f>data[[#This Row],[Cantidad]]*data[[#This Row],[Precio de Venta Cliente ($/Unid)]]</f>
        <v>38.799999999999997</v>
      </c>
      <c r="S327" s="29"/>
      <c r="T327" s="39" t="s">
        <v>119</v>
      </c>
      <c r="U327" s="39"/>
      <c r="V327" s="30" t="s">
        <v>42</v>
      </c>
      <c r="W327" s="32" t="s">
        <v>42</v>
      </c>
      <c r="X327" s="51" t="s">
        <v>23</v>
      </c>
      <c r="Y327" s="51" t="s">
        <v>23</v>
      </c>
      <c r="Z327" s="39" t="s">
        <v>504</v>
      </c>
      <c r="AA327" s="5"/>
    </row>
    <row r="328" spans="2:27" s="38" customFormat="1" ht="15.75" x14ac:dyDescent="0.25">
      <c r="B328" s="23"/>
      <c r="C328" s="174" t="str">
        <f>TEXT(data[[#This Row],[Fecha de Envío
Cotización]],"MMMM")</f>
        <v>abril</v>
      </c>
      <c r="D328" s="99">
        <v>44309</v>
      </c>
      <c r="E328" s="23" t="str">
        <f>IF(data[[#This Row],[Estatus de 
Cotización]]="PERDIDO","N/A","")</f>
        <v>N/A</v>
      </c>
      <c r="F328" s="23"/>
      <c r="G328" s="109"/>
      <c r="H328" s="23"/>
      <c r="I328" s="86">
        <v>511967</v>
      </c>
      <c r="J328" s="87">
        <v>2609</v>
      </c>
      <c r="K328" s="24" t="s">
        <v>534</v>
      </c>
      <c r="L328" s="39"/>
      <c r="M328" s="108" t="s">
        <v>897</v>
      </c>
      <c r="N328" s="39">
        <v>3</v>
      </c>
      <c r="O328" s="40"/>
      <c r="P328" s="107">
        <v>16.95</v>
      </c>
      <c r="Q328" s="28">
        <f>data[[#This Row],[Costo Producto
Proveedor ($/Unid)]]*data[[#This Row],[Cantidad]]</f>
        <v>0</v>
      </c>
      <c r="R328" s="28">
        <f>data[[#This Row],[Cantidad]]*data[[#This Row],[Precio de Venta Cliente ($/Unid)]]</f>
        <v>50.849999999999994</v>
      </c>
      <c r="S328" s="29"/>
      <c r="T328" s="39" t="s">
        <v>119</v>
      </c>
      <c r="U328" s="39"/>
      <c r="V328" s="30" t="s">
        <v>42</v>
      </c>
      <c r="W328" s="32" t="s">
        <v>42</v>
      </c>
      <c r="X328" s="51" t="s">
        <v>23</v>
      </c>
      <c r="Y328" s="51" t="s">
        <v>23</v>
      </c>
      <c r="Z328" s="39" t="s">
        <v>504</v>
      </c>
      <c r="AA328" s="5"/>
    </row>
    <row r="329" spans="2:27" s="38" customFormat="1" ht="15.75" x14ac:dyDescent="0.25">
      <c r="B329" s="174"/>
      <c r="C329" s="174" t="str">
        <f>TEXT(data[[#This Row],[Fecha de Envío
Cotización]],"MMMM")</f>
        <v>abril</v>
      </c>
      <c r="D329" s="174">
        <v>44309</v>
      </c>
      <c r="E329" s="23" t="str">
        <f>IF(data[[#This Row],[Estatus de 
Cotización]]="PERDIDO","N/A","")</f>
        <v>N/A</v>
      </c>
      <c r="F329" s="174"/>
      <c r="G329" s="109"/>
      <c r="H329" s="174"/>
      <c r="I329" s="86">
        <v>511968</v>
      </c>
      <c r="J329" s="87">
        <v>2609</v>
      </c>
      <c r="K329" s="24" t="s">
        <v>534</v>
      </c>
      <c r="L329" s="106"/>
      <c r="M329" s="108" t="s">
        <v>898</v>
      </c>
      <c r="N329" s="106">
        <v>3</v>
      </c>
      <c r="O329" s="107"/>
      <c r="P329" s="107">
        <v>6.59</v>
      </c>
      <c r="Q329" s="28">
        <f>data[[#This Row],[Costo Producto
Proveedor ($/Unid)]]*data[[#This Row],[Cantidad]]</f>
        <v>0</v>
      </c>
      <c r="R329" s="28">
        <f>data[[#This Row],[Cantidad]]*data[[#This Row],[Precio de Venta Cliente ($/Unid)]]</f>
        <v>19.77</v>
      </c>
      <c r="S329" s="29"/>
      <c r="T329" s="106" t="s">
        <v>119</v>
      </c>
      <c r="U329" s="106"/>
      <c r="V329" s="30" t="s">
        <v>42</v>
      </c>
      <c r="W329" s="32" t="s">
        <v>42</v>
      </c>
      <c r="X329" s="106" t="s">
        <v>23</v>
      </c>
      <c r="Y329" s="106" t="s">
        <v>23</v>
      </c>
      <c r="Z329" s="106" t="s">
        <v>504</v>
      </c>
      <c r="AA329" s="5"/>
    </row>
    <row r="330" spans="2:27" s="38" customFormat="1" ht="15.75" x14ac:dyDescent="0.25">
      <c r="B330" s="174"/>
      <c r="C330" s="174" t="str">
        <f>TEXT(data[[#This Row],[Fecha de Envío
Cotización]],"MMMM")</f>
        <v>abril</v>
      </c>
      <c r="D330" s="174">
        <v>44309</v>
      </c>
      <c r="E330" s="23" t="str">
        <f>IF(data[[#This Row],[Estatus de 
Cotización]]="PERDIDO","N/A","")</f>
        <v>N/A</v>
      </c>
      <c r="F330" s="174"/>
      <c r="G330" s="109"/>
      <c r="H330" s="174"/>
      <c r="I330" s="86">
        <v>511969</v>
      </c>
      <c r="J330" s="87">
        <v>2609</v>
      </c>
      <c r="K330" s="24" t="s">
        <v>534</v>
      </c>
      <c r="L330" s="106"/>
      <c r="M330" s="105" t="s">
        <v>903</v>
      </c>
      <c r="N330" s="106">
        <v>2</v>
      </c>
      <c r="O330" s="107"/>
      <c r="P330" s="107">
        <v>7.9</v>
      </c>
      <c r="Q330" s="28">
        <f>data[[#This Row],[Costo Producto
Proveedor ($/Unid)]]*data[[#This Row],[Cantidad]]</f>
        <v>0</v>
      </c>
      <c r="R330" s="28">
        <f>data[[#This Row],[Cantidad]]*data[[#This Row],[Precio de Venta Cliente ($/Unid)]]</f>
        <v>15.8</v>
      </c>
      <c r="S330" s="29"/>
      <c r="T330" s="106" t="s">
        <v>119</v>
      </c>
      <c r="U330" s="106"/>
      <c r="V330" s="30" t="s">
        <v>42</v>
      </c>
      <c r="W330" s="32" t="s">
        <v>42</v>
      </c>
      <c r="X330" s="106" t="s">
        <v>23</v>
      </c>
      <c r="Y330" s="106" t="s">
        <v>23</v>
      </c>
      <c r="Z330" s="106" t="s">
        <v>504</v>
      </c>
      <c r="AA330" s="5"/>
    </row>
    <row r="331" spans="2:27" s="38" customFormat="1" ht="15.75" x14ac:dyDescent="0.25">
      <c r="B331" s="35"/>
      <c r="C331" s="174" t="str">
        <f>TEXT(data[[#This Row],[Fecha de Envío
Cotización]],"MMMM")</f>
        <v>abril</v>
      </c>
      <c r="D331" s="99">
        <v>44309</v>
      </c>
      <c r="E331" s="35" t="str">
        <f>IF(data[[#This Row],[Estatus de 
Cotización]]="PERDIDO","N/A","")</f>
        <v>N/A</v>
      </c>
      <c r="F331" s="35"/>
      <c r="G331" s="109"/>
      <c r="H331" s="35"/>
      <c r="I331" s="86">
        <v>511970</v>
      </c>
      <c r="J331" s="87">
        <v>2609</v>
      </c>
      <c r="K331" s="24" t="s">
        <v>534</v>
      </c>
      <c r="L331" s="39"/>
      <c r="M331" s="105" t="s">
        <v>904</v>
      </c>
      <c r="N331" s="39">
        <v>5</v>
      </c>
      <c r="O331" s="40"/>
      <c r="P331" s="107">
        <v>9.19</v>
      </c>
      <c r="Q331" s="28">
        <f>data[[#This Row],[Costo Producto
Proveedor ($/Unid)]]*data[[#This Row],[Cantidad]]</f>
        <v>0</v>
      </c>
      <c r="R331" s="28">
        <f>data[[#This Row],[Cantidad]]*data[[#This Row],[Precio de Venta Cliente ($/Unid)]]</f>
        <v>45.949999999999996</v>
      </c>
      <c r="S331" s="29"/>
      <c r="T331" s="39" t="s">
        <v>119</v>
      </c>
      <c r="U331" s="39"/>
      <c r="V331" s="30" t="s">
        <v>42</v>
      </c>
      <c r="W331" s="32" t="s">
        <v>42</v>
      </c>
      <c r="X331" s="39" t="s">
        <v>23</v>
      </c>
      <c r="Y331" s="39" t="s">
        <v>23</v>
      </c>
      <c r="Z331" s="39" t="s">
        <v>504</v>
      </c>
      <c r="AA331" s="5"/>
    </row>
    <row r="332" spans="2:27" s="38" customFormat="1" ht="15.75" x14ac:dyDescent="0.25">
      <c r="B332" s="35"/>
      <c r="C332" s="174" t="str">
        <f>TEXT(data[[#This Row],[Fecha de Envío
Cotización]],"MMMM")</f>
        <v>abril</v>
      </c>
      <c r="D332" s="35">
        <v>44312</v>
      </c>
      <c r="E332" s="174" t="str">
        <f>IF(data[[#This Row],[Estatus de 
Cotización]]="PERDIDO","N/A","")</f>
        <v>N/A</v>
      </c>
      <c r="F332" s="35"/>
      <c r="G332" s="109"/>
      <c r="H332" s="35"/>
      <c r="I332" s="86">
        <v>511984</v>
      </c>
      <c r="J332" s="87">
        <v>30666</v>
      </c>
      <c r="K332" s="24" t="s">
        <v>122</v>
      </c>
      <c r="L332" s="39"/>
      <c r="M332" s="108" t="s">
        <v>919</v>
      </c>
      <c r="N332" s="39">
        <v>21.6</v>
      </c>
      <c r="O332" s="40"/>
      <c r="P332" s="107">
        <v>185.13</v>
      </c>
      <c r="Q332" s="28">
        <f>data[[#This Row],[Costo Producto
Proveedor ($/Unid)]]*data[[#This Row],[Cantidad]]</f>
        <v>0</v>
      </c>
      <c r="R332" s="28">
        <f>data[[#This Row],[Cantidad]]*data[[#This Row],[Precio de Venta Cliente ($/Unid)]]</f>
        <v>3998.808</v>
      </c>
      <c r="S332" s="29"/>
      <c r="T332" s="39" t="s">
        <v>22</v>
      </c>
      <c r="U332" s="39"/>
      <c r="V332" s="30" t="s">
        <v>42</v>
      </c>
      <c r="W332" s="32" t="s">
        <v>42</v>
      </c>
      <c r="X332" s="39" t="s">
        <v>23</v>
      </c>
      <c r="Y332" s="39" t="s">
        <v>23</v>
      </c>
      <c r="Z332" s="39" t="s">
        <v>504</v>
      </c>
      <c r="AA332" s="5"/>
    </row>
    <row r="333" spans="2:27" s="38" customFormat="1" ht="15.75" x14ac:dyDescent="0.25">
      <c r="B333" s="35"/>
      <c r="C333" s="174" t="str">
        <f>TEXT(data[[#This Row],[Fecha de Envío
Cotización]],"MMMM")</f>
        <v>abril</v>
      </c>
      <c r="D333" s="35">
        <v>44312</v>
      </c>
      <c r="E333" s="174" t="str">
        <f>IF(data[[#This Row],[Estatus de 
Cotización]]="PERDIDO","N/A","")</f>
        <v>N/A</v>
      </c>
      <c r="F333" s="35"/>
      <c r="G333" s="109"/>
      <c r="H333" s="35"/>
      <c r="I333" s="86">
        <v>511985</v>
      </c>
      <c r="J333" s="87">
        <v>30666</v>
      </c>
      <c r="K333" s="24" t="s">
        <v>122</v>
      </c>
      <c r="L333" s="39"/>
      <c r="M333" s="108" t="s">
        <v>920</v>
      </c>
      <c r="N333" s="39">
        <v>229770</v>
      </c>
      <c r="O333" s="40"/>
      <c r="P333" s="107">
        <v>2.21</v>
      </c>
      <c r="Q333" s="28">
        <f>data[[#This Row],[Costo Producto
Proveedor ($/Unid)]]*data[[#This Row],[Cantidad]]</f>
        <v>0</v>
      </c>
      <c r="R333" s="28">
        <f>data[[#This Row],[Cantidad]]*data[[#This Row],[Precio de Venta Cliente ($/Unid)]]</f>
        <v>507791.7</v>
      </c>
      <c r="S333" s="29"/>
      <c r="T333" s="39" t="s">
        <v>22</v>
      </c>
      <c r="U333" s="39"/>
      <c r="V333" s="30" t="s">
        <v>42</v>
      </c>
      <c r="W333" s="32" t="s">
        <v>42</v>
      </c>
      <c r="X333" s="39" t="s">
        <v>23</v>
      </c>
      <c r="Y333" s="39" t="s">
        <v>23</v>
      </c>
      <c r="Z333" s="39" t="s">
        <v>504</v>
      </c>
      <c r="AA333" s="5"/>
    </row>
    <row r="334" spans="2:27" s="38" customFormat="1" ht="15.75" x14ac:dyDescent="0.25">
      <c r="B334" s="35"/>
      <c r="C334" s="174" t="str">
        <f>TEXT(data[[#This Row],[Fecha de Envío
Cotización]],"MMMM")</f>
        <v>abril</v>
      </c>
      <c r="D334" s="35">
        <v>44312</v>
      </c>
      <c r="E334" s="174" t="str">
        <f>IF(data[[#This Row],[Estatus de 
Cotización]]="PERDIDO","N/A","")</f>
        <v>N/A</v>
      </c>
      <c r="F334" s="35"/>
      <c r="G334" s="109"/>
      <c r="H334" s="35"/>
      <c r="I334" s="86">
        <v>511986</v>
      </c>
      <c r="J334" s="87">
        <v>30666</v>
      </c>
      <c r="K334" s="24" t="s">
        <v>122</v>
      </c>
      <c r="L334" s="39"/>
      <c r="M334" s="108" t="s">
        <v>921</v>
      </c>
      <c r="N334" s="39">
        <v>1890</v>
      </c>
      <c r="O334" s="40"/>
      <c r="P334" s="107">
        <v>5.61</v>
      </c>
      <c r="Q334" s="28">
        <f>data[[#This Row],[Costo Producto
Proveedor ($/Unid)]]*data[[#This Row],[Cantidad]]</f>
        <v>0</v>
      </c>
      <c r="R334" s="28">
        <f>data[[#This Row],[Cantidad]]*data[[#This Row],[Precio de Venta Cliente ($/Unid)]]</f>
        <v>10602.900000000001</v>
      </c>
      <c r="S334" s="29"/>
      <c r="T334" s="39" t="s">
        <v>22</v>
      </c>
      <c r="U334" s="39"/>
      <c r="V334" s="30" t="s">
        <v>42</v>
      </c>
      <c r="W334" s="32" t="s">
        <v>42</v>
      </c>
      <c r="X334" s="39" t="s">
        <v>23</v>
      </c>
      <c r="Y334" s="39" t="s">
        <v>23</v>
      </c>
      <c r="Z334" s="39" t="s">
        <v>504</v>
      </c>
      <c r="AA334" s="5"/>
    </row>
    <row r="335" spans="2:27" s="38" customFormat="1" ht="15.75" x14ac:dyDescent="0.25">
      <c r="B335" s="35"/>
      <c r="C335" s="174" t="str">
        <f>TEXT(data[[#This Row],[Fecha de Envío
Cotización]],"MMMM")</f>
        <v>abril</v>
      </c>
      <c r="D335" s="35">
        <v>44312</v>
      </c>
      <c r="E335" s="174" t="str">
        <f>IF(data[[#This Row],[Estatus de 
Cotización]]="PERDIDO","N/A","")</f>
        <v>N/A</v>
      </c>
      <c r="F335" s="35"/>
      <c r="G335" s="109"/>
      <c r="H335" s="35"/>
      <c r="I335" s="86">
        <v>511987</v>
      </c>
      <c r="J335" s="87">
        <v>30666</v>
      </c>
      <c r="K335" s="24" t="s">
        <v>122</v>
      </c>
      <c r="L335" s="39"/>
      <c r="M335" s="53" t="s">
        <v>922</v>
      </c>
      <c r="N335" s="39">
        <v>189000</v>
      </c>
      <c r="O335" s="40"/>
      <c r="P335" s="107">
        <v>0.14000000000000001</v>
      </c>
      <c r="Q335" s="28">
        <f>data[[#This Row],[Costo Producto
Proveedor ($/Unid)]]*data[[#This Row],[Cantidad]]</f>
        <v>0</v>
      </c>
      <c r="R335" s="28">
        <f>data[[#This Row],[Cantidad]]*data[[#This Row],[Precio de Venta Cliente ($/Unid)]]</f>
        <v>26460.000000000004</v>
      </c>
      <c r="S335" s="29"/>
      <c r="T335" s="39" t="s">
        <v>22</v>
      </c>
      <c r="U335" s="39"/>
      <c r="V335" s="30" t="s">
        <v>42</v>
      </c>
      <c r="W335" s="32" t="s">
        <v>42</v>
      </c>
      <c r="X335" s="39" t="s">
        <v>23</v>
      </c>
      <c r="Y335" s="39" t="s">
        <v>23</v>
      </c>
      <c r="Z335" s="39" t="s">
        <v>504</v>
      </c>
      <c r="AA335" s="5"/>
    </row>
    <row r="336" spans="2:27" s="38" customFormat="1" ht="15.75" x14ac:dyDescent="0.25">
      <c r="B336" s="35"/>
      <c r="C336" s="174" t="str">
        <f>TEXT(data[[#This Row],[Fecha de Envío
Cotización]],"MMMM")</f>
        <v>abril</v>
      </c>
      <c r="D336" s="35">
        <v>44312</v>
      </c>
      <c r="E336" s="174" t="str">
        <f>IF(data[[#This Row],[Estatus de 
Cotización]]="PERDIDO","N/A","")</f>
        <v>N/A</v>
      </c>
      <c r="F336" s="35"/>
      <c r="G336" s="109"/>
      <c r="H336" s="35"/>
      <c r="I336" s="86">
        <v>511988</v>
      </c>
      <c r="J336" s="87">
        <v>2610</v>
      </c>
      <c r="K336" s="24" t="s">
        <v>534</v>
      </c>
      <c r="L336" s="39"/>
      <c r="M336" s="105" t="s">
        <v>949</v>
      </c>
      <c r="N336" s="39">
        <v>1</v>
      </c>
      <c r="O336" s="40"/>
      <c r="P336" s="107">
        <v>120.24</v>
      </c>
      <c r="Q336" s="28">
        <f>data[[#This Row],[Costo Producto
Proveedor ($/Unid)]]*data[[#This Row],[Cantidad]]</f>
        <v>0</v>
      </c>
      <c r="R336" s="28">
        <f>data[[#This Row],[Cantidad]]*data[[#This Row],[Precio de Venta Cliente ($/Unid)]]</f>
        <v>120.24</v>
      </c>
      <c r="S336" s="29"/>
      <c r="T336" s="39" t="s">
        <v>119</v>
      </c>
      <c r="U336" s="39"/>
      <c r="V336" s="30" t="s">
        <v>42</v>
      </c>
      <c r="W336" s="32" t="s">
        <v>42</v>
      </c>
      <c r="X336" s="39" t="s">
        <v>23</v>
      </c>
      <c r="Y336" s="39" t="s">
        <v>23</v>
      </c>
      <c r="Z336" s="39" t="s">
        <v>504</v>
      </c>
      <c r="AA336" s="5"/>
    </row>
    <row r="337" spans="2:27" s="38" customFormat="1" ht="15.75" x14ac:dyDescent="0.25">
      <c r="B337" s="174"/>
      <c r="C337" s="174" t="str">
        <f>TEXT(data[[#This Row],[Fecha de Envío
Cotización]],"MMMM")</f>
        <v>abril</v>
      </c>
      <c r="D337" s="174">
        <v>44312</v>
      </c>
      <c r="E337" s="174" t="str">
        <f>IF(data[[#This Row],[Estatus de 
Cotización]]="PERDIDO","N/A","")</f>
        <v>N/A</v>
      </c>
      <c r="F337" s="174"/>
      <c r="G337" s="109"/>
      <c r="H337" s="174"/>
      <c r="I337" s="86">
        <v>511989</v>
      </c>
      <c r="J337" s="87">
        <v>2610</v>
      </c>
      <c r="K337" s="24" t="s">
        <v>534</v>
      </c>
      <c r="L337" s="106"/>
      <c r="M337" s="105" t="s">
        <v>950</v>
      </c>
      <c r="N337" s="106">
        <v>2</v>
      </c>
      <c r="O337" s="107"/>
      <c r="P337" s="107">
        <v>5.19</v>
      </c>
      <c r="Q337" s="28">
        <f>data[[#This Row],[Costo Producto
Proveedor ($/Unid)]]*data[[#This Row],[Cantidad]]</f>
        <v>0</v>
      </c>
      <c r="R337" s="28">
        <f>data[[#This Row],[Cantidad]]*data[[#This Row],[Precio de Venta Cliente ($/Unid)]]</f>
        <v>10.38</v>
      </c>
      <c r="S337" s="29"/>
      <c r="T337" s="106" t="s">
        <v>22</v>
      </c>
      <c r="U337" s="106"/>
      <c r="V337" s="30" t="s">
        <v>42</v>
      </c>
      <c r="W337" s="32" t="s">
        <v>42</v>
      </c>
      <c r="X337" s="106" t="s">
        <v>23</v>
      </c>
      <c r="Y337" s="106" t="s">
        <v>23</v>
      </c>
      <c r="Z337" s="106" t="s">
        <v>504</v>
      </c>
      <c r="AA337" s="5"/>
    </row>
    <row r="338" spans="2:27" s="38" customFormat="1" ht="15.75" x14ac:dyDescent="0.25">
      <c r="B338" s="174"/>
      <c r="C338" s="174" t="str">
        <f>TEXT(data[[#This Row],[Fecha de Envío
Cotización]],"MMMM")</f>
        <v>abril</v>
      </c>
      <c r="D338" s="174">
        <v>44312</v>
      </c>
      <c r="E338" s="174" t="str">
        <f>IF(data[[#This Row],[Estatus de 
Cotización]]="PERDIDO","N/A","")</f>
        <v>N/A</v>
      </c>
      <c r="F338" s="174"/>
      <c r="G338" s="109"/>
      <c r="H338" s="174"/>
      <c r="I338" s="86">
        <v>511990</v>
      </c>
      <c r="J338" s="87">
        <v>2610</v>
      </c>
      <c r="K338" s="24" t="s">
        <v>534</v>
      </c>
      <c r="L338" s="106"/>
      <c r="M338" s="105" t="s">
        <v>951</v>
      </c>
      <c r="N338" s="106">
        <v>2</v>
      </c>
      <c r="O338" s="107"/>
      <c r="P338" s="107">
        <v>2.0499999999999998</v>
      </c>
      <c r="Q338" s="28">
        <f>data[[#This Row],[Costo Producto
Proveedor ($/Unid)]]*data[[#This Row],[Cantidad]]</f>
        <v>0</v>
      </c>
      <c r="R338" s="28">
        <f>data[[#This Row],[Cantidad]]*data[[#This Row],[Precio de Venta Cliente ($/Unid)]]</f>
        <v>4.0999999999999996</v>
      </c>
      <c r="S338" s="29"/>
      <c r="T338" s="106" t="s">
        <v>119</v>
      </c>
      <c r="U338" s="106"/>
      <c r="V338" s="30" t="s">
        <v>42</v>
      </c>
      <c r="W338" s="32" t="s">
        <v>42</v>
      </c>
      <c r="X338" s="106" t="s">
        <v>23</v>
      </c>
      <c r="Y338" s="106" t="s">
        <v>23</v>
      </c>
      <c r="Z338" s="106" t="s">
        <v>504</v>
      </c>
      <c r="AA338" s="5"/>
    </row>
    <row r="339" spans="2:27" s="38" customFormat="1" ht="15.75" x14ac:dyDescent="0.25">
      <c r="B339" s="35"/>
      <c r="C339" s="174" t="str">
        <f>TEXT(data[[#This Row],[Fecha de Envío
Cotización]],"MMMM")</f>
        <v>abril</v>
      </c>
      <c r="D339" s="35">
        <v>44312</v>
      </c>
      <c r="E339" s="174" t="str">
        <f>IF(data[[#This Row],[Estatus de 
Cotización]]="PERDIDO","N/A","")</f>
        <v>N/A</v>
      </c>
      <c r="F339" s="35"/>
      <c r="G339" s="109"/>
      <c r="H339" s="35"/>
      <c r="I339" s="86">
        <v>511991</v>
      </c>
      <c r="J339" s="87">
        <v>2610</v>
      </c>
      <c r="K339" s="24" t="s">
        <v>534</v>
      </c>
      <c r="L339" s="39"/>
      <c r="M339" s="105" t="s">
        <v>952</v>
      </c>
      <c r="N339" s="39">
        <v>3</v>
      </c>
      <c r="O339" s="40"/>
      <c r="P339" s="107">
        <v>4.25</v>
      </c>
      <c r="Q339" s="28">
        <f>data[[#This Row],[Costo Producto
Proveedor ($/Unid)]]*data[[#This Row],[Cantidad]]</f>
        <v>0</v>
      </c>
      <c r="R339" s="28">
        <f>data[[#This Row],[Cantidad]]*data[[#This Row],[Precio de Venta Cliente ($/Unid)]]</f>
        <v>12.75</v>
      </c>
      <c r="S339" s="29"/>
      <c r="T339" s="39" t="s">
        <v>119</v>
      </c>
      <c r="U339" s="39"/>
      <c r="V339" s="30" t="s">
        <v>42</v>
      </c>
      <c r="W339" s="32" t="s">
        <v>42</v>
      </c>
      <c r="X339" s="39" t="s">
        <v>23</v>
      </c>
      <c r="Y339" s="39" t="s">
        <v>23</v>
      </c>
      <c r="Z339" s="39" t="s">
        <v>504</v>
      </c>
      <c r="AA339" s="5"/>
    </row>
    <row r="340" spans="2:27" s="38" customFormat="1" ht="15.75" x14ac:dyDescent="0.25">
      <c r="B340" s="35"/>
      <c r="C340" s="174" t="str">
        <f>TEXT(data[[#This Row],[Fecha de Envío
Cotización]],"MMMM")</f>
        <v>abril</v>
      </c>
      <c r="D340" s="35">
        <v>44313</v>
      </c>
      <c r="E340" s="174" t="str">
        <f>IF(data[[#This Row],[Estatus de 
Cotización]]="PERDIDO","N/A","")</f>
        <v>N/A</v>
      </c>
      <c r="F340" s="35"/>
      <c r="G340" s="109"/>
      <c r="H340" s="35"/>
      <c r="I340" s="86">
        <v>511996</v>
      </c>
      <c r="J340" s="87">
        <v>2611</v>
      </c>
      <c r="K340" s="24" t="s">
        <v>138</v>
      </c>
      <c r="L340" s="39"/>
      <c r="M340" s="105" t="s">
        <v>953</v>
      </c>
      <c r="N340" s="39">
        <v>1</v>
      </c>
      <c r="O340" s="40"/>
      <c r="P340" s="107">
        <v>899.96</v>
      </c>
      <c r="Q340" s="28">
        <f>data[[#This Row],[Costo Producto
Proveedor ($/Unid)]]*data[[#This Row],[Cantidad]]</f>
        <v>0</v>
      </c>
      <c r="R340" s="28">
        <f>data[[#This Row],[Cantidad]]*data[[#This Row],[Precio de Venta Cliente ($/Unid)]]</f>
        <v>899.96</v>
      </c>
      <c r="S340" s="29"/>
      <c r="T340" s="39" t="s">
        <v>959</v>
      </c>
      <c r="U340" s="39"/>
      <c r="V340" s="30" t="s">
        <v>42</v>
      </c>
      <c r="W340" s="32" t="s">
        <v>42</v>
      </c>
      <c r="X340" s="39" t="s">
        <v>23</v>
      </c>
      <c r="Y340" s="39" t="s">
        <v>23</v>
      </c>
      <c r="Z340" s="39" t="s">
        <v>504</v>
      </c>
      <c r="AA340" s="5"/>
    </row>
    <row r="341" spans="2:27" s="38" customFormat="1" ht="15.75" x14ac:dyDescent="0.25">
      <c r="B341" s="35"/>
      <c r="C341" s="174" t="str">
        <f>TEXT(data[[#This Row],[Fecha de Envío
Cotización]],"MMMM")</f>
        <v>abril</v>
      </c>
      <c r="D341" s="35">
        <v>44313</v>
      </c>
      <c r="E341" s="174" t="str">
        <f>IF(data[[#This Row],[Estatus de 
Cotización]]="PERDIDO","N/A","")</f>
        <v>N/A</v>
      </c>
      <c r="F341" s="35"/>
      <c r="G341" s="109"/>
      <c r="H341" s="35"/>
      <c r="I341" s="86">
        <v>511997</v>
      </c>
      <c r="J341" s="87">
        <v>2611</v>
      </c>
      <c r="K341" s="24" t="s">
        <v>138</v>
      </c>
      <c r="L341" s="39"/>
      <c r="M341" s="108" t="s">
        <v>954</v>
      </c>
      <c r="N341" s="39">
        <v>5</v>
      </c>
      <c r="O341" s="40"/>
      <c r="P341" s="107">
        <v>43.49</v>
      </c>
      <c r="Q341" s="28">
        <f>data[[#This Row],[Costo Producto
Proveedor ($/Unid)]]*data[[#This Row],[Cantidad]]</f>
        <v>0</v>
      </c>
      <c r="R341" s="28">
        <f>data[[#This Row],[Cantidad]]*data[[#This Row],[Precio de Venta Cliente ($/Unid)]]</f>
        <v>217.45000000000002</v>
      </c>
      <c r="S341" s="29"/>
      <c r="T341" s="39" t="s">
        <v>16</v>
      </c>
      <c r="U341" s="39"/>
      <c r="V341" s="30" t="s">
        <v>42</v>
      </c>
      <c r="W341" s="32" t="s">
        <v>42</v>
      </c>
      <c r="X341" s="39" t="s">
        <v>23</v>
      </c>
      <c r="Y341" s="39" t="s">
        <v>23</v>
      </c>
      <c r="Z341" s="39" t="s">
        <v>504</v>
      </c>
      <c r="AA341" s="5"/>
    </row>
    <row r="342" spans="2:27" s="38" customFormat="1" ht="15.75" x14ac:dyDescent="0.25">
      <c r="B342" s="35"/>
      <c r="C342" s="174" t="str">
        <f>TEXT(data[[#This Row],[Fecha de Envío
Cotización]],"MMMM")</f>
        <v>abril</v>
      </c>
      <c r="D342" s="35">
        <v>44313</v>
      </c>
      <c r="E342" s="174" t="str">
        <f>IF(data[[#This Row],[Estatus de 
Cotización]]="PERDIDO","N/A","")</f>
        <v>N/A</v>
      </c>
      <c r="F342" s="35"/>
      <c r="G342" s="109"/>
      <c r="H342" s="35"/>
      <c r="I342" s="86">
        <v>511998</v>
      </c>
      <c r="J342" s="87">
        <v>2611</v>
      </c>
      <c r="K342" s="24" t="s">
        <v>138</v>
      </c>
      <c r="L342" s="39"/>
      <c r="M342" s="108" t="s">
        <v>955</v>
      </c>
      <c r="N342" s="39">
        <v>2</v>
      </c>
      <c r="O342" s="40"/>
      <c r="P342" s="107">
        <v>223.81</v>
      </c>
      <c r="Q342" s="28">
        <f>data[[#This Row],[Costo Producto
Proveedor ($/Unid)]]*data[[#This Row],[Cantidad]]</f>
        <v>0</v>
      </c>
      <c r="R342" s="28">
        <f>data[[#This Row],[Cantidad]]*data[[#This Row],[Precio de Venta Cliente ($/Unid)]]</f>
        <v>447.62</v>
      </c>
      <c r="S342" s="29"/>
      <c r="T342" s="39" t="s">
        <v>959</v>
      </c>
      <c r="U342" s="39"/>
      <c r="V342" s="30" t="s">
        <v>42</v>
      </c>
      <c r="W342" s="32" t="s">
        <v>42</v>
      </c>
      <c r="X342" s="39" t="s">
        <v>23</v>
      </c>
      <c r="Y342" s="39" t="s">
        <v>23</v>
      </c>
      <c r="Z342" s="39" t="s">
        <v>504</v>
      </c>
      <c r="AA342" s="5"/>
    </row>
    <row r="343" spans="2:27" s="38" customFormat="1" ht="15.75" x14ac:dyDescent="0.25">
      <c r="B343" s="35"/>
      <c r="C343" s="174" t="str">
        <f>TEXT(data[[#This Row],[Fecha de Envío
Cotización]],"MMMM")</f>
        <v>abril</v>
      </c>
      <c r="D343" s="35">
        <v>44313</v>
      </c>
      <c r="E343" s="174" t="str">
        <f>IF(data[[#This Row],[Estatus de 
Cotización]]="PERDIDO","N/A","")</f>
        <v>N/A</v>
      </c>
      <c r="F343" s="35"/>
      <c r="G343" s="109"/>
      <c r="H343" s="35"/>
      <c r="I343" s="86">
        <v>511999</v>
      </c>
      <c r="J343" s="87">
        <v>2611</v>
      </c>
      <c r="K343" s="24" t="s">
        <v>138</v>
      </c>
      <c r="L343" s="39"/>
      <c r="M343" s="108" t="s">
        <v>956</v>
      </c>
      <c r="N343" s="39">
        <v>2</v>
      </c>
      <c r="O343" s="40"/>
      <c r="P343" s="107">
        <v>135.28</v>
      </c>
      <c r="Q343" s="28">
        <f>data[[#This Row],[Costo Producto
Proveedor ($/Unid)]]*data[[#This Row],[Cantidad]]</f>
        <v>0</v>
      </c>
      <c r="R343" s="28">
        <f>data[[#This Row],[Cantidad]]*data[[#This Row],[Precio de Venta Cliente ($/Unid)]]</f>
        <v>270.56</v>
      </c>
      <c r="S343" s="29"/>
      <c r="T343" s="39" t="s">
        <v>16</v>
      </c>
      <c r="U343" s="39"/>
      <c r="V343" s="30" t="s">
        <v>42</v>
      </c>
      <c r="W343" s="32" t="s">
        <v>42</v>
      </c>
      <c r="X343" s="39" t="s">
        <v>23</v>
      </c>
      <c r="Y343" s="39" t="s">
        <v>23</v>
      </c>
      <c r="Z343" s="39" t="s">
        <v>504</v>
      </c>
      <c r="AA343" s="5"/>
    </row>
    <row r="344" spans="2:27" s="38" customFormat="1" ht="15.75" x14ac:dyDescent="0.25">
      <c r="B344" s="35"/>
      <c r="C344" s="174" t="str">
        <f>TEXT(data[[#This Row],[Fecha de Envío
Cotización]],"MMMM")</f>
        <v>abril</v>
      </c>
      <c r="D344" s="35">
        <v>44313</v>
      </c>
      <c r="E344" s="174" t="str">
        <f>IF(data[[#This Row],[Estatus de 
Cotización]]="PERDIDO","N/A","")</f>
        <v>N/A</v>
      </c>
      <c r="F344" s="35"/>
      <c r="G344" s="109"/>
      <c r="H344" s="35"/>
      <c r="I344" s="86">
        <v>512000</v>
      </c>
      <c r="J344" s="87">
        <v>2611</v>
      </c>
      <c r="K344" s="24" t="s">
        <v>138</v>
      </c>
      <c r="L344" s="39"/>
      <c r="M344" s="41" t="s">
        <v>957</v>
      </c>
      <c r="N344" s="39">
        <v>2</v>
      </c>
      <c r="O344" s="40"/>
      <c r="P344" s="107">
        <v>201.84</v>
      </c>
      <c r="Q344" s="28">
        <f>data[[#This Row],[Costo Producto
Proveedor ($/Unid)]]*data[[#This Row],[Cantidad]]</f>
        <v>0</v>
      </c>
      <c r="R344" s="28">
        <f>data[[#This Row],[Cantidad]]*data[[#This Row],[Precio de Venta Cliente ($/Unid)]]</f>
        <v>403.68</v>
      </c>
      <c r="S344" s="29"/>
      <c r="T344" s="39" t="s">
        <v>959</v>
      </c>
      <c r="U344" s="39"/>
      <c r="V344" s="30" t="s">
        <v>42</v>
      </c>
      <c r="W344" s="32" t="s">
        <v>42</v>
      </c>
      <c r="X344" s="39" t="s">
        <v>23</v>
      </c>
      <c r="Y344" s="39" t="s">
        <v>23</v>
      </c>
      <c r="Z344" s="39" t="s">
        <v>504</v>
      </c>
      <c r="AA344" s="5"/>
    </row>
    <row r="345" spans="2:27" s="38" customFormat="1" ht="15.75" x14ac:dyDescent="0.25">
      <c r="B345" s="35"/>
      <c r="C345" s="174" t="str">
        <f>TEXT(data[[#This Row],[Fecha de Envío
Cotización]],"MMMM")</f>
        <v>abril</v>
      </c>
      <c r="D345" s="35">
        <v>44313</v>
      </c>
      <c r="E345" s="174" t="str">
        <f>IF(data[[#This Row],[Estatus de 
Cotización]]="PERDIDO","N/A","")</f>
        <v>N/A</v>
      </c>
      <c r="F345" s="35"/>
      <c r="G345" s="109"/>
      <c r="H345" s="35"/>
      <c r="I345" s="86">
        <v>512001</v>
      </c>
      <c r="J345" s="87">
        <v>2611</v>
      </c>
      <c r="K345" s="24" t="s">
        <v>138</v>
      </c>
      <c r="L345" s="39"/>
      <c r="M345" s="33" t="s">
        <v>958</v>
      </c>
      <c r="N345" s="39">
        <v>1</v>
      </c>
      <c r="O345" s="40"/>
      <c r="P345" s="107">
        <v>219.34</v>
      </c>
      <c r="Q345" s="28">
        <f>data[[#This Row],[Costo Producto
Proveedor ($/Unid)]]*data[[#This Row],[Cantidad]]</f>
        <v>0</v>
      </c>
      <c r="R345" s="28">
        <f>data[[#This Row],[Cantidad]]*data[[#This Row],[Precio de Venta Cliente ($/Unid)]]</f>
        <v>219.34</v>
      </c>
      <c r="S345" s="29"/>
      <c r="T345" s="39" t="s">
        <v>16</v>
      </c>
      <c r="U345" s="39"/>
      <c r="V345" s="30" t="s">
        <v>42</v>
      </c>
      <c r="W345" s="32" t="s">
        <v>42</v>
      </c>
      <c r="X345" s="39" t="s">
        <v>23</v>
      </c>
      <c r="Y345" s="39" t="s">
        <v>23</v>
      </c>
      <c r="Z345" s="39" t="s">
        <v>504</v>
      </c>
      <c r="AA345" s="5"/>
    </row>
    <row r="346" spans="2:27" s="38" customFormat="1" ht="15.75" x14ac:dyDescent="0.25">
      <c r="B346" s="174"/>
      <c r="C346" s="174" t="str">
        <f>TEXT(data[[#This Row],[Fecha de Envío
Cotización]],"MMMM")</f>
        <v>abril</v>
      </c>
      <c r="D346" s="174">
        <v>44314</v>
      </c>
      <c r="E346" s="174" t="str">
        <f>IF(data[[#This Row],[Estatus de 
Cotización]]="PERDIDO","N/A","")</f>
        <v>N/A</v>
      </c>
      <c r="F346" s="174"/>
      <c r="G346" s="109"/>
      <c r="H346" s="174"/>
      <c r="I346" s="86">
        <v>512011</v>
      </c>
      <c r="J346" s="87">
        <v>2614</v>
      </c>
      <c r="K346" s="24" t="s">
        <v>32</v>
      </c>
      <c r="L346" s="106"/>
      <c r="M346" s="108" t="s">
        <v>981</v>
      </c>
      <c r="N346" s="106">
        <v>1</v>
      </c>
      <c r="O346" s="107"/>
      <c r="P346" s="107">
        <v>5535.82</v>
      </c>
      <c r="Q346" s="28">
        <f>data[[#This Row],[Costo Producto
Proveedor ($/Unid)]]*data[[#This Row],[Cantidad]]</f>
        <v>0</v>
      </c>
      <c r="R346" s="28">
        <f>data[[#This Row],[Cantidad]]*data[[#This Row],[Precio de Venta Cliente ($/Unid)]]</f>
        <v>5535.82</v>
      </c>
      <c r="S346" s="29"/>
      <c r="T346" s="106" t="s">
        <v>983</v>
      </c>
      <c r="U346" s="106"/>
      <c r="V346" s="30" t="s">
        <v>42</v>
      </c>
      <c r="W346" s="32" t="s">
        <v>42</v>
      </c>
      <c r="X346" s="106" t="s">
        <v>23</v>
      </c>
      <c r="Y346" s="106" t="s">
        <v>23</v>
      </c>
      <c r="Z346" s="106" t="s">
        <v>504</v>
      </c>
      <c r="AA346" s="5"/>
    </row>
    <row r="347" spans="2:27" s="38" customFormat="1" ht="15.75" x14ac:dyDescent="0.25">
      <c r="B347" s="174"/>
      <c r="C347" s="174" t="str">
        <f>TEXT(data[[#This Row],[Fecha de Envío
Cotización]],"MMMM")</f>
        <v>abril</v>
      </c>
      <c r="D347" s="174">
        <v>44314</v>
      </c>
      <c r="E347" s="174" t="str">
        <f>IF(data[[#This Row],[Estatus de 
Cotización]]="PERDIDO","N/A","")</f>
        <v>N/A</v>
      </c>
      <c r="F347" s="174"/>
      <c r="G347" s="109"/>
      <c r="H347" s="174"/>
      <c r="I347" s="86">
        <v>512012</v>
      </c>
      <c r="J347" s="87">
        <v>2614</v>
      </c>
      <c r="K347" s="24" t="s">
        <v>32</v>
      </c>
      <c r="L347" s="106"/>
      <c r="M347" s="108" t="s">
        <v>982</v>
      </c>
      <c r="N347" s="106">
        <v>1</v>
      </c>
      <c r="O347" s="107"/>
      <c r="P347" s="107">
        <v>10330.33</v>
      </c>
      <c r="Q347" s="28">
        <f>data[[#This Row],[Costo Producto
Proveedor ($/Unid)]]*data[[#This Row],[Cantidad]]</f>
        <v>0</v>
      </c>
      <c r="R347" s="28">
        <f>data[[#This Row],[Cantidad]]*data[[#This Row],[Precio de Venta Cliente ($/Unid)]]</f>
        <v>10330.33</v>
      </c>
      <c r="S347" s="29"/>
      <c r="T347" s="106" t="s">
        <v>983</v>
      </c>
      <c r="U347" s="106"/>
      <c r="V347" s="30" t="s">
        <v>42</v>
      </c>
      <c r="W347" s="32" t="s">
        <v>42</v>
      </c>
      <c r="X347" s="106" t="s">
        <v>23</v>
      </c>
      <c r="Y347" s="106" t="s">
        <v>23</v>
      </c>
      <c r="Z347" s="106" t="s">
        <v>504</v>
      </c>
      <c r="AA347" s="5"/>
    </row>
    <row r="348" spans="2:27" s="38" customFormat="1" ht="15.75" x14ac:dyDescent="0.25">
      <c r="B348" s="44"/>
      <c r="C348" s="174" t="str">
        <f>TEXT(data[[#This Row],[Fecha de Envío
Cotización]],"MMMM")</f>
        <v>abril</v>
      </c>
      <c r="D348" s="44">
        <v>44314</v>
      </c>
      <c r="E348" s="174" t="str">
        <f>IF(data[[#This Row],[Estatus de 
Cotización]]="PERDIDO","N/A","")</f>
        <v>N/A</v>
      </c>
      <c r="F348" s="44"/>
      <c r="G348" s="109"/>
      <c r="H348" s="44"/>
      <c r="I348" s="86">
        <v>512013</v>
      </c>
      <c r="J348" s="87">
        <v>2613</v>
      </c>
      <c r="K348" s="24" t="s">
        <v>32</v>
      </c>
      <c r="L348" s="39"/>
      <c r="M348" s="108" t="s">
        <v>1077</v>
      </c>
      <c r="N348" s="39">
        <v>3</v>
      </c>
      <c r="O348" s="40"/>
      <c r="P348" s="107">
        <v>325.92</v>
      </c>
      <c r="Q348" s="28">
        <f>data[[#This Row],[Costo Producto
Proveedor ($/Unid)]]*data[[#This Row],[Cantidad]]</f>
        <v>0</v>
      </c>
      <c r="R348" s="28">
        <f>data[[#This Row],[Cantidad]]*data[[#This Row],[Precio de Venta Cliente ($/Unid)]]</f>
        <v>977.76</v>
      </c>
      <c r="S348" s="29"/>
      <c r="T348" s="39" t="s">
        <v>1076</v>
      </c>
      <c r="U348" s="39"/>
      <c r="V348" s="30" t="s">
        <v>42</v>
      </c>
      <c r="W348" s="32" t="s">
        <v>42</v>
      </c>
      <c r="X348" s="106" t="s">
        <v>23</v>
      </c>
      <c r="Y348" s="106" t="s">
        <v>23</v>
      </c>
      <c r="Z348" s="39" t="s">
        <v>504</v>
      </c>
      <c r="AA348" s="5"/>
    </row>
    <row r="349" spans="2:27" s="38" customFormat="1" ht="15.75" x14ac:dyDescent="0.25">
      <c r="B349" s="44"/>
      <c r="C349" s="174" t="str">
        <f>TEXT(data[[#This Row],[Fecha de Envío
Cotización]],"MMMM")</f>
        <v>abril</v>
      </c>
      <c r="D349" s="44">
        <v>44314</v>
      </c>
      <c r="E349" s="174" t="str">
        <f>IF(data[[#This Row],[Estatus de 
Cotización]]="PERDIDO","N/A","")</f>
        <v>N/A</v>
      </c>
      <c r="F349" s="44"/>
      <c r="G349" s="109"/>
      <c r="H349" s="44"/>
      <c r="I349" s="86">
        <v>512014</v>
      </c>
      <c r="J349" s="87">
        <v>2613</v>
      </c>
      <c r="K349" s="24" t="s">
        <v>32</v>
      </c>
      <c r="L349" s="39"/>
      <c r="M349" s="108" t="s">
        <v>1078</v>
      </c>
      <c r="N349" s="39">
        <v>7</v>
      </c>
      <c r="O349" s="40"/>
      <c r="P349" s="107">
        <v>738.83</v>
      </c>
      <c r="Q349" s="28">
        <f>data[[#This Row],[Costo Producto
Proveedor ($/Unid)]]*data[[#This Row],[Cantidad]]</f>
        <v>0</v>
      </c>
      <c r="R349" s="28">
        <f>data[[#This Row],[Cantidad]]*data[[#This Row],[Precio de Venta Cliente ($/Unid)]]</f>
        <v>5171.8100000000004</v>
      </c>
      <c r="S349" s="29"/>
      <c r="T349" s="39" t="s">
        <v>1076</v>
      </c>
      <c r="U349" s="39"/>
      <c r="V349" s="30" t="s">
        <v>42</v>
      </c>
      <c r="W349" s="32" t="s">
        <v>42</v>
      </c>
      <c r="X349" s="106" t="s">
        <v>23</v>
      </c>
      <c r="Y349" s="106" t="s">
        <v>23</v>
      </c>
      <c r="Z349" s="39" t="s">
        <v>504</v>
      </c>
      <c r="AA349" s="5"/>
    </row>
    <row r="350" spans="2:27" s="38" customFormat="1" ht="15.75" x14ac:dyDescent="0.25">
      <c r="B350" s="44"/>
      <c r="C350" s="174" t="str">
        <f>TEXT(data[[#This Row],[Fecha de Envío
Cotización]],"MMMM")</f>
        <v>abril</v>
      </c>
      <c r="D350" s="44">
        <v>44314</v>
      </c>
      <c r="E350" s="174" t="str">
        <f>IF(data[[#This Row],[Estatus de 
Cotización]]="PERDIDO","N/A","")</f>
        <v>N/A</v>
      </c>
      <c r="F350" s="44"/>
      <c r="G350" s="109"/>
      <c r="H350" s="44"/>
      <c r="I350" s="86">
        <v>512015</v>
      </c>
      <c r="J350" s="87">
        <v>2613</v>
      </c>
      <c r="K350" s="24" t="s">
        <v>32</v>
      </c>
      <c r="L350" s="39"/>
      <c r="M350" s="108" t="s">
        <v>1079</v>
      </c>
      <c r="N350" s="39">
        <v>1</v>
      </c>
      <c r="O350" s="40"/>
      <c r="P350" s="107">
        <v>2523.3000000000002</v>
      </c>
      <c r="Q350" s="28">
        <f>data[[#This Row],[Costo Producto
Proveedor ($/Unid)]]*data[[#This Row],[Cantidad]]</f>
        <v>0</v>
      </c>
      <c r="R350" s="28">
        <f>data[[#This Row],[Cantidad]]*data[[#This Row],[Precio de Venta Cliente ($/Unid)]]</f>
        <v>2523.3000000000002</v>
      </c>
      <c r="S350" s="29"/>
      <c r="T350" s="39" t="s">
        <v>1076</v>
      </c>
      <c r="U350" s="39"/>
      <c r="V350" s="30" t="s">
        <v>42</v>
      </c>
      <c r="W350" s="32" t="s">
        <v>42</v>
      </c>
      <c r="X350" s="106" t="s">
        <v>23</v>
      </c>
      <c r="Y350" s="106" t="s">
        <v>23</v>
      </c>
      <c r="Z350" s="39" t="s">
        <v>504</v>
      </c>
      <c r="AA350" s="5"/>
    </row>
    <row r="351" spans="2:27" s="38" customFormat="1" ht="15.75" x14ac:dyDescent="0.25">
      <c r="B351" s="44"/>
      <c r="C351" s="174" t="str">
        <f>TEXT(data[[#This Row],[Fecha de Envío
Cotización]],"MMMM")</f>
        <v>abril</v>
      </c>
      <c r="D351" s="44">
        <v>44314</v>
      </c>
      <c r="E351" s="174" t="str">
        <f>IF(data[[#This Row],[Estatus de 
Cotización]]="PERDIDO","N/A","")</f>
        <v>N/A</v>
      </c>
      <c r="F351" s="44"/>
      <c r="G351" s="109"/>
      <c r="H351" s="44"/>
      <c r="I351" s="86">
        <v>512016</v>
      </c>
      <c r="J351" s="87">
        <v>2613</v>
      </c>
      <c r="K351" s="24" t="s">
        <v>32</v>
      </c>
      <c r="L351" s="39"/>
      <c r="M351" s="108" t="s">
        <v>1080</v>
      </c>
      <c r="N351" s="39">
        <v>3</v>
      </c>
      <c r="O351" s="40"/>
      <c r="P351" s="107">
        <v>724.76</v>
      </c>
      <c r="Q351" s="28">
        <f>data[[#This Row],[Costo Producto
Proveedor ($/Unid)]]*data[[#This Row],[Cantidad]]</f>
        <v>0</v>
      </c>
      <c r="R351" s="28">
        <f>data[[#This Row],[Cantidad]]*data[[#This Row],[Precio de Venta Cliente ($/Unid)]]</f>
        <v>2174.2799999999997</v>
      </c>
      <c r="S351" s="29"/>
      <c r="T351" s="39" t="s">
        <v>1076</v>
      </c>
      <c r="U351" s="39"/>
      <c r="V351" s="30" t="s">
        <v>42</v>
      </c>
      <c r="W351" s="32" t="s">
        <v>42</v>
      </c>
      <c r="X351" s="106" t="s">
        <v>23</v>
      </c>
      <c r="Y351" s="106" t="s">
        <v>23</v>
      </c>
      <c r="Z351" s="39" t="s">
        <v>504</v>
      </c>
      <c r="AA351" s="5"/>
    </row>
    <row r="352" spans="2:27" s="38" customFormat="1" ht="15.75" x14ac:dyDescent="0.25">
      <c r="B352" s="44"/>
      <c r="C352" s="174" t="str">
        <f>TEXT(data[[#This Row],[Fecha de Envío
Cotización]],"MMMM")</f>
        <v>abril</v>
      </c>
      <c r="D352" s="44">
        <v>44314</v>
      </c>
      <c r="E352" s="174" t="str">
        <f>IF(data[[#This Row],[Estatus de 
Cotización]]="PERDIDO","N/A","")</f>
        <v>N/A</v>
      </c>
      <c r="F352" s="44"/>
      <c r="G352" s="109"/>
      <c r="H352" s="44"/>
      <c r="I352" s="86">
        <v>512017</v>
      </c>
      <c r="J352" s="87">
        <v>2613</v>
      </c>
      <c r="K352" s="24" t="s">
        <v>32</v>
      </c>
      <c r="L352" s="39"/>
      <c r="M352" s="108" t="s">
        <v>1081</v>
      </c>
      <c r="N352" s="39">
        <v>2</v>
      </c>
      <c r="O352" s="40"/>
      <c r="P352" s="107">
        <v>844.46</v>
      </c>
      <c r="Q352" s="28">
        <f>data[[#This Row],[Costo Producto
Proveedor ($/Unid)]]*data[[#This Row],[Cantidad]]</f>
        <v>0</v>
      </c>
      <c r="R352" s="28">
        <f>data[[#This Row],[Cantidad]]*data[[#This Row],[Precio de Venta Cliente ($/Unid)]]</f>
        <v>1688.92</v>
      </c>
      <c r="S352" s="29"/>
      <c r="T352" s="39" t="s">
        <v>1076</v>
      </c>
      <c r="U352" s="39"/>
      <c r="V352" s="30" t="s">
        <v>42</v>
      </c>
      <c r="W352" s="32" t="s">
        <v>42</v>
      </c>
      <c r="X352" s="106" t="s">
        <v>23</v>
      </c>
      <c r="Y352" s="106" t="s">
        <v>23</v>
      </c>
      <c r="Z352" s="39" t="s">
        <v>504</v>
      </c>
      <c r="AA352" s="5"/>
    </row>
    <row r="353" spans="2:27" s="38" customFormat="1" ht="15.75" x14ac:dyDescent="0.25">
      <c r="B353" s="44"/>
      <c r="C353" s="174" t="str">
        <f>TEXT(data[[#This Row],[Fecha de Envío
Cotización]],"MMMM")</f>
        <v>abril</v>
      </c>
      <c r="D353" s="44">
        <v>44315</v>
      </c>
      <c r="E353" s="174" t="str">
        <f>IF(data[[#This Row],[Estatus de 
Cotización]]="PERDIDO","N/A","")</f>
        <v>N/A</v>
      </c>
      <c r="F353" s="44"/>
      <c r="G353" s="109"/>
      <c r="H353" s="44"/>
      <c r="I353" s="86">
        <v>512024</v>
      </c>
      <c r="J353" s="87">
        <v>30720</v>
      </c>
      <c r="K353" s="24" t="s">
        <v>122</v>
      </c>
      <c r="L353" s="39"/>
      <c r="M353" s="108" t="s">
        <v>1011</v>
      </c>
      <c r="N353" s="39">
        <v>500</v>
      </c>
      <c r="O353" s="40"/>
      <c r="P353" s="107">
        <v>29.75</v>
      </c>
      <c r="Q353" s="28">
        <f>data[[#This Row],[Costo Producto
Proveedor ($/Unid)]]*data[[#This Row],[Cantidad]]</f>
        <v>0</v>
      </c>
      <c r="R353" s="28">
        <f>data[[#This Row],[Cantidad]]*data[[#This Row],[Precio de Venta Cliente ($/Unid)]]</f>
        <v>14875</v>
      </c>
      <c r="S353" s="29"/>
      <c r="T353" s="39" t="s">
        <v>119</v>
      </c>
      <c r="U353" s="39"/>
      <c r="V353" s="30" t="s">
        <v>42</v>
      </c>
      <c r="W353" s="32" t="s">
        <v>42</v>
      </c>
      <c r="X353" s="106" t="s">
        <v>23</v>
      </c>
      <c r="Y353" s="106" t="s">
        <v>23</v>
      </c>
      <c r="Z353" s="39" t="s">
        <v>504</v>
      </c>
      <c r="AA353" s="5"/>
    </row>
    <row r="354" spans="2:27" s="38" customFormat="1" ht="15.75" x14ac:dyDescent="0.25">
      <c r="B354" s="44"/>
      <c r="C354" s="174" t="str">
        <f>TEXT(data[[#This Row],[Fecha de Envío
Cotización]],"MMMM")</f>
        <v>abril</v>
      </c>
      <c r="D354" s="44">
        <v>44315</v>
      </c>
      <c r="E354" s="174" t="str">
        <f>IF(data[[#This Row],[Estatus de 
Cotización]]="PERDIDO","N/A","")</f>
        <v>N/A</v>
      </c>
      <c r="F354" s="44"/>
      <c r="G354" s="109"/>
      <c r="H354" s="44"/>
      <c r="I354" s="86">
        <v>512025</v>
      </c>
      <c r="J354" s="87">
        <v>30720</v>
      </c>
      <c r="K354" s="24" t="s">
        <v>122</v>
      </c>
      <c r="L354" s="39"/>
      <c r="M354" s="108" t="s">
        <v>1012</v>
      </c>
      <c r="N354" s="39">
        <v>500</v>
      </c>
      <c r="O354" s="40"/>
      <c r="P354" s="107">
        <v>29.75</v>
      </c>
      <c r="Q354" s="28">
        <f>data[[#This Row],[Costo Producto
Proveedor ($/Unid)]]*data[[#This Row],[Cantidad]]</f>
        <v>0</v>
      </c>
      <c r="R354" s="28">
        <f>data[[#This Row],[Cantidad]]*data[[#This Row],[Precio de Venta Cliente ($/Unid)]]</f>
        <v>14875</v>
      </c>
      <c r="S354" s="29"/>
      <c r="T354" s="39" t="s">
        <v>119</v>
      </c>
      <c r="U354" s="39"/>
      <c r="V354" s="30" t="s">
        <v>42</v>
      </c>
      <c r="W354" s="32" t="s">
        <v>42</v>
      </c>
      <c r="X354" s="106" t="s">
        <v>23</v>
      </c>
      <c r="Y354" s="106" t="s">
        <v>23</v>
      </c>
      <c r="Z354" s="39" t="s">
        <v>504</v>
      </c>
      <c r="AA354" s="5"/>
    </row>
    <row r="355" spans="2:27" s="38" customFormat="1" ht="15.75" x14ac:dyDescent="0.25">
      <c r="B355" s="174"/>
      <c r="C355" s="174" t="str">
        <f>TEXT(data[[#This Row],[Fecha de Envío
Cotización]],"MMMM")</f>
        <v>abril</v>
      </c>
      <c r="D355" s="174">
        <v>44315</v>
      </c>
      <c r="E355" s="174" t="str">
        <f>IF(data[[#This Row],[Estatus de 
Cotización]]="PERDIDO","N/A","")</f>
        <v>N/A</v>
      </c>
      <c r="F355" s="174"/>
      <c r="G355" s="109"/>
      <c r="H355" s="174"/>
      <c r="I355" s="86">
        <v>512026</v>
      </c>
      <c r="J355" s="87">
        <v>30720</v>
      </c>
      <c r="K355" s="24" t="s">
        <v>122</v>
      </c>
      <c r="L355" s="106"/>
      <c r="M355" s="108" t="s">
        <v>1013</v>
      </c>
      <c r="N355" s="106">
        <v>500</v>
      </c>
      <c r="O355" s="107"/>
      <c r="P355" s="107">
        <v>29.75</v>
      </c>
      <c r="Q355" s="28">
        <f>data[[#This Row],[Costo Producto
Proveedor ($/Unid)]]*data[[#This Row],[Cantidad]]</f>
        <v>0</v>
      </c>
      <c r="R355" s="28">
        <f>data[[#This Row],[Cantidad]]*data[[#This Row],[Precio de Venta Cliente ($/Unid)]]</f>
        <v>14875</v>
      </c>
      <c r="S355" s="29"/>
      <c r="T355" s="106" t="s">
        <v>119</v>
      </c>
      <c r="U355" s="106"/>
      <c r="V355" s="30" t="s">
        <v>42</v>
      </c>
      <c r="W355" s="32" t="s">
        <v>42</v>
      </c>
      <c r="X355" s="106" t="s">
        <v>23</v>
      </c>
      <c r="Y355" s="106" t="s">
        <v>23</v>
      </c>
      <c r="Z355" s="106" t="s">
        <v>504</v>
      </c>
      <c r="AA355" s="5"/>
    </row>
    <row r="356" spans="2:27" s="38" customFormat="1" ht="15.75" x14ac:dyDescent="0.25">
      <c r="B356" s="44"/>
      <c r="C356" s="174" t="str">
        <f>TEXT(data[[#This Row],[Fecha de Envío
Cotización]],"MMMM")</f>
        <v>abril</v>
      </c>
      <c r="D356" s="44">
        <v>44315</v>
      </c>
      <c r="E356" s="174" t="str">
        <f>IF(data[[#This Row],[Estatus de 
Cotización]]="PERDIDO","N/A","")</f>
        <v>N/A</v>
      </c>
      <c r="F356" s="44"/>
      <c r="G356" s="109"/>
      <c r="H356" s="44"/>
      <c r="I356" s="86">
        <v>512027</v>
      </c>
      <c r="J356" s="87">
        <v>30720</v>
      </c>
      <c r="K356" s="24" t="s">
        <v>122</v>
      </c>
      <c r="L356" s="39"/>
      <c r="M356" s="108" t="s">
        <v>1014</v>
      </c>
      <c r="N356" s="39">
        <v>20</v>
      </c>
      <c r="O356" s="40"/>
      <c r="P356" s="107">
        <v>23.32</v>
      </c>
      <c r="Q356" s="28">
        <f>data[[#This Row],[Costo Producto
Proveedor ($/Unid)]]*data[[#This Row],[Cantidad]]</f>
        <v>0</v>
      </c>
      <c r="R356" s="28">
        <f>data[[#This Row],[Cantidad]]*data[[#This Row],[Precio de Venta Cliente ($/Unid)]]</f>
        <v>466.4</v>
      </c>
      <c r="S356" s="29"/>
      <c r="T356" s="39" t="s">
        <v>119</v>
      </c>
      <c r="U356" s="39"/>
      <c r="V356" s="30" t="s">
        <v>42</v>
      </c>
      <c r="W356" s="32" t="s">
        <v>42</v>
      </c>
      <c r="X356" s="106" t="s">
        <v>23</v>
      </c>
      <c r="Y356" s="106" t="s">
        <v>23</v>
      </c>
      <c r="Z356" s="39" t="s">
        <v>504</v>
      </c>
      <c r="AA356" s="5"/>
    </row>
    <row r="357" spans="2:27" s="38" customFormat="1" ht="15.75" x14ac:dyDescent="0.25">
      <c r="B357" s="44"/>
      <c r="C357" s="174" t="str">
        <f>TEXT(data[[#This Row],[Fecha de Envío
Cotización]],"MMMM")</f>
        <v>abril</v>
      </c>
      <c r="D357" s="44">
        <v>44315</v>
      </c>
      <c r="E357" s="174" t="str">
        <f>IF(data[[#This Row],[Estatus de 
Cotización]]="PERDIDO","N/A","")</f>
        <v>N/A</v>
      </c>
      <c r="F357" s="44"/>
      <c r="G357" s="109"/>
      <c r="H357" s="44"/>
      <c r="I357" s="86">
        <v>512028</v>
      </c>
      <c r="J357" s="87">
        <v>30720</v>
      </c>
      <c r="K357" s="24" t="s">
        <v>122</v>
      </c>
      <c r="L357" s="39"/>
      <c r="M357" s="108" t="s">
        <v>1015</v>
      </c>
      <c r="N357" s="39">
        <v>20</v>
      </c>
      <c r="O357" s="40"/>
      <c r="P357" s="107">
        <v>29.73</v>
      </c>
      <c r="Q357" s="28">
        <f>data[[#This Row],[Costo Producto
Proveedor ($/Unid)]]*data[[#This Row],[Cantidad]]</f>
        <v>0</v>
      </c>
      <c r="R357" s="28">
        <f>data[[#This Row],[Cantidad]]*data[[#This Row],[Precio de Venta Cliente ($/Unid)]]</f>
        <v>594.6</v>
      </c>
      <c r="S357" s="29"/>
      <c r="T357" s="39" t="s">
        <v>119</v>
      </c>
      <c r="U357" s="39"/>
      <c r="V357" s="30" t="s">
        <v>42</v>
      </c>
      <c r="W357" s="32" t="s">
        <v>42</v>
      </c>
      <c r="X357" s="106" t="s">
        <v>23</v>
      </c>
      <c r="Y357" s="106" t="s">
        <v>23</v>
      </c>
      <c r="Z357" s="39" t="s">
        <v>504</v>
      </c>
      <c r="AA357" s="5"/>
    </row>
    <row r="358" spans="2:27" s="38" customFormat="1" ht="15.75" x14ac:dyDescent="0.25">
      <c r="B358" s="44"/>
      <c r="C358" s="174" t="str">
        <f>TEXT(data[[#This Row],[Fecha de Envío
Cotización]],"MMMM")</f>
        <v>abril</v>
      </c>
      <c r="D358" s="44">
        <v>44315</v>
      </c>
      <c r="E358" s="174" t="str">
        <f>IF(data[[#This Row],[Estatus de 
Cotización]]="PERDIDO","N/A","")</f>
        <v>N/A</v>
      </c>
      <c r="F358" s="44"/>
      <c r="G358" s="109"/>
      <c r="H358" s="44"/>
      <c r="I358" s="86">
        <v>512029</v>
      </c>
      <c r="J358" s="87">
        <v>30720</v>
      </c>
      <c r="K358" s="24" t="s">
        <v>122</v>
      </c>
      <c r="L358" s="39"/>
      <c r="M358" s="108" t="s">
        <v>1016</v>
      </c>
      <c r="N358" s="39">
        <v>20</v>
      </c>
      <c r="O358" s="40"/>
      <c r="P358" s="107">
        <v>16.66</v>
      </c>
      <c r="Q358" s="28">
        <f>data[[#This Row],[Costo Producto
Proveedor ($/Unid)]]*data[[#This Row],[Cantidad]]</f>
        <v>0</v>
      </c>
      <c r="R358" s="28">
        <f>data[[#This Row],[Cantidad]]*data[[#This Row],[Precio de Venta Cliente ($/Unid)]]</f>
        <v>333.2</v>
      </c>
      <c r="S358" s="29"/>
      <c r="T358" s="39" t="s">
        <v>119</v>
      </c>
      <c r="U358" s="39"/>
      <c r="V358" s="30" t="s">
        <v>42</v>
      </c>
      <c r="W358" s="32" t="s">
        <v>42</v>
      </c>
      <c r="X358" s="106" t="s">
        <v>23</v>
      </c>
      <c r="Y358" s="106" t="s">
        <v>23</v>
      </c>
      <c r="Z358" s="39" t="s">
        <v>504</v>
      </c>
      <c r="AA358" s="5"/>
    </row>
    <row r="359" spans="2:27" s="38" customFormat="1" ht="15.75" x14ac:dyDescent="0.25">
      <c r="B359" s="44"/>
      <c r="C359" s="174" t="str">
        <f>TEXT(data[[#This Row],[Fecha de Envío
Cotización]],"MMMM")</f>
        <v>abril</v>
      </c>
      <c r="D359" s="44">
        <v>44315</v>
      </c>
      <c r="E359" s="174" t="str">
        <f>IF(data[[#This Row],[Estatus de 
Cotización]]="PERDIDO","N/A","")</f>
        <v>N/A</v>
      </c>
      <c r="F359" s="44"/>
      <c r="G359" s="109"/>
      <c r="H359" s="44"/>
      <c r="I359" s="86">
        <v>512030</v>
      </c>
      <c r="J359" s="87">
        <v>30720</v>
      </c>
      <c r="K359" s="24" t="s">
        <v>122</v>
      </c>
      <c r="L359" s="39"/>
      <c r="M359" s="108" t="s">
        <v>1017</v>
      </c>
      <c r="N359" s="39">
        <v>1</v>
      </c>
      <c r="O359" s="40"/>
      <c r="P359" s="107">
        <v>101.15</v>
      </c>
      <c r="Q359" s="28">
        <f>data[[#This Row],[Costo Producto
Proveedor ($/Unid)]]*data[[#This Row],[Cantidad]]</f>
        <v>0</v>
      </c>
      <c r="R359" s="28">
        <f>data[[#This Row],[Cantidad]]*data[[#This Row],[Precio de Venta Cliente ($/Unid)]]</f>
        <v>101.15</v>
      </c>
      <c r="S359" s="29"/>
      <c r="T359" s="39" t="s">
        <v>119</v>
      </c>
      <c r="U359" s="39"/>
      <c r="V359" s="30" t="s">
        <v>42</v>
      </c>
      <c r="W359" s="32" t="s">
        <v>42</v>
      </c>
      <c r="X359" s="39" t="s">
        <v>23</v>
      </c>
      <c r="Y359" s="39" t="s">
        <v>23</v>
      </c>
      <c r="Z359" s="39" t="s">
        <v>504</v>
      </c>
      <c r="AA359" s="5"/>
    </row>
    <row r="360" spans="2:27" s="38" customFormat="1" ht="15.75" x14ac:dyDescent="0.25">
      <c r="B360" s="44"/>
      <c r="C360" s="174" t="str">
        <f>TEXT(data[[#This Row],[Fecha de Envío
Cotización]],"MMMM")</f>
        <v>mayo</v>
      </c>
      <c r="D360" s="44">
        <v>44319</v>
      </c>
      <c r="E360" s="174" t="str">
        <f>IF(data[[#This Row],[Estatus de 
Cotización]]="PERDIDO","N/A","")</f>
        <v/>
      </c>
      <c r="F360" s="44"/>
      <c r="G360" s="109"/>
      <c r="H360" s="44"/>
      <c r="I360" s="86">
        <v>512044</v>
      </c>
      <c r="J360" s="87">
        <v>2615</v>
      </c>
      <c r="K360" s="24" t="s">
        <v>32</v>
      </c>
      <c r="L360" s="106"/>
      <c r="M360" s="108" t="s">
        <v>1082</v>
      </c>
      <c r="N360" s="39">
        <v>22</v>
      </c>
      <c r="O360" s="40"/>
      <c r="P360" s="107">
        <v>92.5</v>
      </c>
      <c r="Q360" s="28">
        <f>data[[#This Row],[Costo Producto
Proveedor ($/Unid)]]*data[[#This Row],[Cantidad]]</f>
        <v>0</v>
      </c>
      <c r="R360" s="28">
        <f>data[[#This Row],[Cantidad]]*data[[#This Row],[Precio de Venta Cliente ($/Unid)]]</f>
        <v>2035</v>
      </c>
      <c r="S360" s="29"/>
      <c r="T360" s="39" t="s">
        <v>119</v>
      </c>
      <c r="U360" s="39"/>
      <c r="V360" s="30" t="s">
        <v>46</v>
      </c>
      <c r="W360" s="32" t="s">
        <v>46</v>
      </c>
      <c r="X360" s="106" t="s">
        <v>23</v>
      </c>
      <c r="Y360" s="106" t="s">
        <v>23</v>
      </c>
      <c r="Z360" s="39" t="s">
        <v>504</v>
      </c>
      <c r="AA360" s="5"/>
    </row>
    <row r="361" spans="2:27" s="38" customFormat="1" ht="15.75" x14ac:dyDescent="0.25">
      <c r="B361" s="44"/>
      <c r="C361" s="174" t="str">
        <f>TEXT(data[[#This Row],[Fecha de Envío
Cotización]],"MMMM")</f>
        <v>mayo</v>
      </c>
      <c r="D361" s="44">
        <v>44319</v>
      </c>
      <c r="E361" s="174" t="str">
        <f>IF(data[[#This Row],[Estatus de 
Cotización]]="PERDIDO","N/A","")</f>
        <v/>
      </c>
      <c r="F361" s="44"/>
      <c r="G361" s="109"/>
      <c r="H361" s="44"/>
      <c r="I361" s="86">
        <v>512045</v>
      </c>
      <c r="J361" s="87">
        <v>2615</v>
      </c>
      <c r="K361" s="24" t="s">
        <v>32</v>
      </c>
      <c r="L361" s="106"/>
      <c r="M361" s="108" t="s">
        <v>1083</v>
      </c>
      <c r="N361" s="39">
        <v>2</v>
      </c>
      <c r="O361" s="40"/>
      <c r="P361" s="107">
        <v>58.58</v>
      </c>
      <c r="Q361" s="28">
        <f>data[[#This Row],[Costo Producto
Proveedor ($/Unid)]]*data[[#This Row],[Cantidad]]</f>
        <v>0</v>
      </c>
      <c r="R361" s="28">
        <f>data[[#This Row],[Cantidad]]*data[[#This Row],[Precio de Venta Cliente ($/Unid)]]</f>
        <v>117.16</v>
      </c>
      <c r="S361" s="29"/>
      <c r="T361" s="39" t="s">
        <v>119</v>
      </c>
      <c r="U361" s="39"/>
      <c r="V361" s="30" t="s">
        <v>46</v>
      </c>
      <c r="W361" s="32" t="s">
        <v>46</v>
      </c>
      <c r="X361" s="106" t="s">
        <v>23</v>
      </c>
      <c r="Y361" s="106" t="s">
        <v>23</v>
      </c>
      <c r="Z361" s="39" t="s">
        <v>504</v>
      </c>
      <c r="AA361" s="5"/>
    </row>
    <row r="362" spans="2:27" s="38" customFormat="1" ht="15.75" x14ac:dyDescent="0.25">
      <c r="B362" s="174"/>
      <c r="C362" s="174" t="str">
        <f>TEXT(data[[#This Row],[Fecha de Envío
Cotización]],"MMMM")</f>
        <v>mayo</v>
      </c>
      <c r="D362" s="174">
        <v>44319</v>
      </c>
      <c r="E362" s="174" t="str">
        <f>IF(data[[#This Row],[Estatus de 
Cotización]]="PERDIDO","N/A","")</f>
        <v/>
      </c>
      <c r="F362" s="174"/>
      <c r="G362" s="109"/>
      <c r="H362" s="174"/>
      <c r="I362" s="86">
        <v>512046</v>
      </c>
      <c r="J362" s="87">
        <v>2615</v>
      </c>
      <c r="K362" s="24" t="s">
        <v>32</v>
      </c>
      <c r="L362" s="106"/>
      <c r="M362" s="108" t="s">
        <v>1084</v>
      </c>
      <c r="N362" s="106">
        <v>15</v>
      </c>
      <c r="O362" s="107"/>
      <c r="P362" s="107">
        <v>33.909999999999997</v>
      </c>
      <c r="Q362" s="28">
        <f>data[[#This Row],[Costo Producto
Proveedor ($/Unid)]]*data[[#This Row],[Cantidad]]</f>
        <v>0</v>
      </c>
      <c r="R362" s="28">
        <f>data[[#This Row],[Cantidad]]*data[[#This Row],[Precio de Venta Cliente ($/Unid)]]</f>
        <v>508.65</v>
      </c>
      <c r="S362" s="29"/>
      <c r="T362" s="106" t="s">
        <v>119</v>
      </c>
      <c r="U362" s="106"/>
      <c r="V362" s="30" t="s">
        <v>46</v>
      </c>
      <c r="W362" s="32" t="s">
        <v>46</v>
      </c>
      <c r="X362" s="106" t="s">
        <v>23</v>
      </c>
      <c r="Y362" s="106" t="s">
        <v>23</v>
      </c>
      <c r="Z362" s="106" t="s">
        <v>504</v>
      </c>
      <c r="AA362" s="5"/>
    </row>
    <row r="363" spans="2:27" s="38" customFormat="1" ht="15.75" x14ac:dyDescent="0.25">
      <c r="B363" s="174"/>
      <c r="C363" s="174" t="str">
        <f>TEXT(data[[#This Row],[Fecha de Envío
Cotización]],"MMMM")</f>
        <v>mayo</v>
      </c>
      <c r="D363" s="174">
        <v>44319</v>
      </c>
      <c r="E363" s="174" t="str">
        <f>IF(data[[#This Row],[Estatus de 
Cotización]]="PERDIDO","N/A","")</f>
        <v/>
      </c>
      <c r="F363" s="174"/>
      <c r="G363" s="109"/>
      <c r="H363" s="174"/>
      <c r="I363" s="86">
        <v>512047</v>
      </c>
      <c r="J363" s="87">
        <v>2615</v>
      </c>
      <c r="K363" s="24" t="s">
        <v>32</v>
      </c>
      <c r="L363" s="106"/>
      <c r="M363" s="108" t="s">
        <v>1085</v>
      </c>
      <c r="N363" s="106">
        <v>2</v>
      </c>
      <c r="O363" s="107"/>
      <c r="P363" s="107">
        <v>57.04</v>
      </c>
      <c r="Q363" s="28">
        <f>data[[#This Row],[Costo Producto
Proveedor ($/Unid)]]*data[[#This Row],[Cantidad]]</f>
        <v>0</v>
      </c>
      <c r="R363" s="28">
        <f>data[[#This Row],[Cantidad]]*data[[#This Row],[Precio de Venta Cliente ($/Unid)]]</f>
        <v>114.08</v>
      </c>
      <c r="S363" s="29"/>
      <c r="T363" s="106" t="s">
        <v>119</v>
      </c>
      <c r="U363" s="106"/>
      <c r="V363" s="30" t="s">
        <v>46</v>
      </c>
      <c r="W363" s="32" t="s">
        <v>46</v>
      </c>
      <c r="X363" s="106" t="s">
        <v>23</v>
      </c>
      <c r="Y363" s="106" t="s">
        <v>23</v>
      </c>
      <c r="Z363" s="106" t="s">
        <v>504</v>
      </c>
      <c r="AA363" s="5"/>
    </row>
    <row r="364" spans="2:27" s="38" customFormat="1" ht="15.75" x14ac:dyDescent="0.25">
      <c r="B364" s="174"/>
      <c r="C364" s="174" t="str">
        <f>TEXT(data[[#This Row],[Fecha de Envío
Cotización]],"MMMM")</f>
        <v>mayo</v>
      </c>
      <c r="D364" s="174">
        <v>44319</v>
      </c>
      <c r="E364" s="174" t="str">
        <f>IF(data[[#This Row],[Estatus de 
Cotización]]="PERDIDO","N/A","")</f>
        <v/>
      </c>
      <c r="F364" s="174"/>
      <c r="G364" s="109"/>
      <c r="H364" s="174"/>
      <c r="I364" s="86">
        <v>512048</v>
      </c>
      <c r="J364" s="87">
        <v>2615</v>
      </c>
      <c r="K364" s="24" t="s">
        <v>32</v>
      </c>
      <c r="L364" s="106"/>
      <c r="M364" s="108" t="s">
        <v>1086</v>
      </c>
      <c r="N364" s="106">
        <v>24</v>
      </c>
      <c r="O364" s="107"/>
      <c r="P364" s="107">
        <v>4.93</v>
      </c>
      <c r="Q364" s="28">
        <f>data[[#This Row],[Costo Producto
Proveedor ($/Unid)]]*data[[#This Row],[Cantidad]]</f>
        <v>0</v>
      </c>
      <c r="R364" s="28">
        <f>data[[#This Row],[Cantidad]]*data[[#This Row],[Precio de Venta Cliente ($/Unid)]]</f>
        <v>118.32</v>
      </c>
      <c r="S364" s="29"/>
      <c r="T364" s="106" t="s">
        <v>119</v>
      </c>
      <c r="U364" s="106"/>
      <c r="V364" s="30" t="s">
        <v>46</v>
      </c>
      <c r="W364" s="32" t="s">
        <v>46</v>
      </c>
      <c r="X364" s="106" t="s">
        <v>23</v>
      </c>
      <c r="Y364" s="106" t="s">
        <v>23</v>
      </c>
      <c r="Z364" s="106" t="s">
        <v>504</v>
      </c>
      <c r="AA364" s="5"/>
    </row>
    <row r="365" spans="2:27" s="38" customFormat="1" ht="15.75" x14ac:dyDescent="0.25">
      <c r="B365" s="44"/>
      <c r="C365" s="174" t="str">
        <f>TEXT(data[[#This Row],[Fecha de Envío
Cotización]],"MMMM")</f>
        <v>mayo</v>
      </c>
      <c r="D365" s="44">
        <v>44319</v>
      </c>
      <c r="E365" s="174" t="str">
        <f>IF(data[[#This Row],[Estatus de 
Cotización]]="PERDIDO","N/A","")</f>
        <v/>
      </c>
      <c r="F365" s="44"/>
      <c r="G365" s="109"/>
      <c r="H365" s="44"/>
      <c r="I365" s="86">
        <v>512049</v>
      </c>
      <c r="J365" s="87">
        <v>2615</v>
      </c>
      <c r="K365" s="24" t="s">
        <v>32</v>
      </c>
      <c r="L365" s="106"/>
      <c r="M365" s="108" t="s">
        <v>1087</v>
      </c>
      <c r="N365" s="39">
        <v>24</v>
      </c>
      <c r="O365" s="40"/>
      <c r="P365" s="107">
        <v>4.62</v>
      </c>
      <c r="Q365" s="28">
        <f>data[[#This Row],[Costo Producto
Proveedor ($/Unid)]]*data[[#This Row],[Cantidad]]</f>
        <v>0</v>
      </c>
      <c r="R365" s="28">
        <f>data[[#This Row],[Cantidad]]*data[[#This Row],[Precio de Venta Cliente ($/Unid)]]</f>
        <v>110.88</v>
      </c>
      <c r="S365" s="29"/>
      <c r="T365" s="39" t="s">
        <v>119</v>
      </c>
      <c r="U365" s="39"/>
      <c r="V365" s="30" t="s">
        <v>46</v>
      </c>
      <c r="W365" s="32" t="s">
        <v>46</v>
      </c>
      <c r="X365" s="39" t="s">
        <v>23</v>
      </c>
      <c r="Y365" s="39" t="s">
        <v>23</v>
      </c>
      <c r="Z365" s="39" t="s">
        <v>504</v>
      </c>
      <c r="AA365" s="5"/>
    </row>
    <row r="366" spans="2:27" s="38" customFormat="1" ht="15.75" x14ac:dyDescent="0.25">
      <c r="B366" s="44"/>
      <c r="C366" s="174" t="str">
        <f>TEXT(data[[#This Row],[Fecha de Envío
Cotización]],"MMMM")</f>
        <v>mayo</v>
      </c>
      <c r="D366" s="44">
        <v>44319</v>
      </c>
      <c r="E366" s="174" t="str">
        <f>IF(data[[#This Row],[Estatus de 
Cotización]]="PERDIDO","N/A","")</f>
        <v/>
      </c>
      <c r="F366" s="44"/>
      <c r="G366" s="109"/>
      <c r="H366" s="44"/>
      <c r="I366" s="86">
        <v>512050</v>
      </c>
      <c r="J366" s="87">
        <v>2615</v>
      </c>
      <c r="K366" s="24" t="s">
        <v>32</v>
      </c>
      <c r="L366" s="39"/>
      <c r="M366" s="108" t="s">
        <v>1088</v>
      </c>
      <c r="N366" s="39">
        <v>24</v>
      </c>
      <c r="O366" s="40"/>
      <c r="P366" s="107">
        <v>4.16</v>
      </c>
      <c r="Q366" s="28">
        <f>data[[#This Row],[Costo Producto
Proveedor ($/Unid)]]*data[[#This Row],[Cantidad]]</f>
        <v>0</v>
      </c>
      <c r="R366" s="28">
        <f>data[[#This Row],[Cantidad]]*data[[#This Row],[Precio de Venta Cliente ($/Unid)]]</f>
        <v>99.84</v>
      </c>
      <c r="S366" s="29"/>
      <c r="T366" s="106" t="s">
        <v>119</v>
      </c>
      <c r="U366" s="106"/>
      <c r="V366" s="30" t="s">
        <v>46</v>
      </c>
      <c r="W366" s="32" t="s">
        <v>46</v>
      </c>
      <c r="X366" s="39" t="s">
        <v>23</v>
      </c>
      <c r="Y366" s="39" t="s">
        <v>23</v>
      </c>
      <c r="Z366" s="39" t="s">
        <v>504</v>
      </c>
      <c r="AA366" s="5"/>
    </row>
    <row r="367" spans="2:27" s="38" customFormat="1" ht="15.75" x14ac:dyDescent="0.25">
      <c r="B367" s="174"/>
      <c r="C367" s="174" t="str">
        <f>TEXT(data[[#This Row],[Fecha de Envío
Cotización]],"MMMM")</f>
        <v>mayo</v>
      </c>
      <c r="D367" s="174">
        <v>44319</v>
      </c>
      <c r="E367" s="174" t="str">
        <f>IF(data[[#This Row],[Estatus de 
Cotización]]="PERDIDO","N/A","")</f>
        <v/>
      </c>
      <c r="F367" s="174"/>
      <c r="G367" s="109"/>
      <c r="H367" s="174"/>
      <c r="I367" s="86">
        <v>512051</v>
      </c>
      <c r="J367" s="87">
        <v>2615</v>
      </c>
      <c r="K367" s="24" t="s">
        <v>32</v>
      </c>
      <c r="L367" s="106"/>
      <c r="M367" s="108" t="s">
        <v>1089</v>
      </c>
      <c r="N367" s="106">
        <v>36</v>
      </c>
      <c r="O367" s="107"/>
      <c r="P367" s="107">
        <v>2</v>
      </c>
      <c r="Q367" s="28">
        <f>data[[#This Row],[Costo Producto
Proveedor ($/Unid)]]*data[[#This Row],[Cantidad]]</f>
        <v>0</v>
      </c>
      <c r="R367" s="28">
        <f>data[[#This Row],[Cantidad]]*data[[#This Row],[Precio de Venta Cliente ($/Unid)]]</f>
        <v>72</v>
      </c>
      <c r="S367" s="29"/>
      <c r="T367" s="106" t="s">
        <v>119</v>
      </c>
      <c r="U367" s="106"/>
      <c r="V367" s="30" t="s">
        <v>46</v>
      </c>
      <c r="W367" s="32" t="s">
        <v>46</v>
      </c>
      <c r="X367" s="106" t="s">
        <v>23</v>
      </c>
      <c r="Y367" s="106" t="s">
        <v>23</v>
      </c>
      <c r="Z367" s="106" t="s">
        <v>504</v>
      </c>
      <c r="AA367" s="5"/>
    </row>
    <row r="368" spans="2:27" s="38" customFormat="1" ht="15.75" x14ac:dyDescent="0.25">
      <c r="B368" s="174"/>
      <c r="C368" s="174" t="str">
        <f>TEXT(data[[#This Row],[Fecha de Envío
Cotización]],"MMMM")</f>
        <v>mayo</v>
      </c>
      <c r="D368" s="174">
        <v>44319</v>
      </c>
      <c r="E368" s="174" t="str">
        <f>IF(data[[#This Row],[Estatus de 
Cotización]]="PERDIDO","N/A","")</f>
        <v/>
      </c>
      <c r="F368" s="174"/>
      <c r="G368" s="109"/>
      <c r="H368" s="174"/>
      <c r="I368" s="86">
        <v>512052</v>
      </c>
      <c r="J368" s="87">
        <v>2615</v>
      </c>
      <c r="K368" s="24" t="s">
        <v>32</v>
      </c>
      <c r="L368" s="106"/>
      <c r="M368" s="108" t="s">
        <v>1090</v>
      </c>
      <c r="N368" s="106">
        <v>24</v>
      </c>
      <c r="O368" s="107"/>
      <c r="P368" s="107">
        <v>2.31</v>
      </c>
      <c r="Q368" s="28">
        <f>data[[#This Row],[Costo Producto
Proveedor ($/Unid)]]*data[[#This Row],[Cantidad]]</f>
        <v>0</v>
      </c>
      <c r="R368" s="28">
        <f>data[[#This Row],[Cantidad]]*data[[#This Row],[Precio de Venta Cliente ($/Unid)]]</f>
        <v>55.44</v>
      </c>
      <c r="S368" s="29"/>
      <c r="T368" s="106" t="s">
        <v>119</v>
      </c>
      <c r="U368" s="106"/>
      <c r="V368" s="30" t="s">
        <v>46</v>
      </c>
      <c r="W368" s="32" t="s">
        <v>46</v>
      </c>
      <c r="X368" s="106" t="s">
        <v>23</v>
      </c>
      <c r="Y368" s="106" t="s">
        <v>23</v>
      </c>
      <c r="Z368" s="106" t="s">
        <v>504</v>
      </c>
      <c r="AA368" s="5"/>
    </row>
    <row r="369" spans="2:27" s="38" customFormat="1" ht="15.75" x14ac:dyDescent="0.25">
      <c r="B369" s="44"/>
      <c r="C369" s="174" t="str">
        <f>TEXT(data[[#This Row],[Fecha de Envío
Cotización]],"MMMM")</f>
        <v>mayo</v>
      </c>
      <c r="D369" s="44">
        <v>44319</v>
      </c>
      <c r="E369" s="174" t="str">
        <f>IF(data[[#This Row],[Estatus de 
Cotización]]="PERDIDO","N/A","")</f>
        <v/>
      </c>
      <c r="F369" s="44"/>
      <c r="G369" s="109"/>
      <c r="H369" s="44"/>
      <c r="I369" s="86">
        <v>512053</v>
      </c>
      <c r="J369" s="87">
        <v>2615</v>
      </c>
      <c r="K369" s="24" t="s">
        <v>32</v>
      </c>
      <c r="L369" s="106"/>
      <c r="M369" s="108" t="s">
        <v>1091</v>
      </c>
      <c r="N369" s="39">
        <v>24</v>
      </c>
      <c r="O369" s="40"/>
      <c r="P369" s="107">
        <v>3.24</v>
      </c>
      <c r="Q369" s="28">
        <f>data[[#This Row],[Costo Producto
Proveedor ($/Unid)]]*data[[#This Row],[Cantidad]]</f>
        <v>0</v>
      </c>
      <c r="R369" s="28">
        <f>data[[#This Row],[Cantidad]]*data[[#This Row],[Precio de Venta Cliente ($/Unid)]]</f>
        <v>77.760000000000005</v>
      </c>
      <c r="S369" s="29"/>
      <c r="T369" s="106" t="s">
        <v>119</v>
      </c>
      <c r="U369" s="106"/>
      <c r="V369" s="30" t="s">
        <v>46</v>
      </c>
      <c r="W369" s="32" t="s">
        <v>46</v>
      </c>
      <c r="X369" s="39" t="s">
        <v>23</v>
      </c>
      <c r="Y369" s="39" t="s">
        <v>23</v>
      </c>
      <c r="Z369" s="39" t="s">
        <v>504</v>
      </c>
      <c r="AA369" s="5"/>
    </row>
    <row r="370" spans="2:27" s="38" customFormat="1" ht="15.75" x14ac:dyDescent="0.25">
      <c r="B370" s="35"/>
      <c r="C370" s="174" t="str">
        <f>TEXT(data[[#This Row],[Fecha de Envío
Cotización]],"MMMM")</f>
        <v>mayo</v>
      </c>
      <c r="D370" s="35">
        <v>44319</v>
      </c>
      <c r="E370" s="174" t="str">
        <f>IF(data[[#This Row],[Estatus de 
Cotización]]="PERDIDO","N/A","")</f>
        <v/>
      </c>
      <c r="F370" s="35"/>
      <c r="G370" s="109"/>
      <c r="H370" s="35"/>
      <c r="I370" s="86">
        <v>512054</v>
      </c>
      <c r="J370" s="87">
        <v>2615</v>
      </c>
      <c r="K370" s="24" t="s">
        <v>32</v>
      </c>
      <c r="L370" s="106"/>
      <c r="M370" s="108" t="s">
        <v>1092</v>
      </c>
      <c r="N370" s="39">
        <v>24</v>
      </c>
      <c r="O370" s="40"/>
      <c r="P370" s="107">
        <v>2</v>
      </c>
      <c r="Q370" s="28">
        <f>data[[#This Row],[Costo Producto
Proveedor ($/Unid)]]*data[[#This Row],[Cantidad]]</f>
        <v>0</v>
      </c>
      <c r="R370" s="28">
        <f>data[[#This Row],[Cantidad]]*data[[#This Row],[Precio de Venta Cliente ($/Unid)]]</f>
        <v>48</v>
      </c>
      <c r="S370" s="29"/>
      <c r="T370" s="106" t="s">
        <v>119</v>
      </c>
      <c r="U370" s="106"/>
      <c r="V370" s="30" t="s">
        <v>46</v>
      </c>
      <c r="W370" s="32" t="s">
        <v>46</v>
      </c>
      <c r="X370" s="39" t="s">
        <v>23</v>
      </c>
      <c r="Y370" s="39" t="s">
        <v>23</v>
      </c>
      <c r="Z370" s="39" t="s">
        <v>504</v>
      </c>
      <c r="AA370" s="5"/>
    </row>
    <row r="371" spans="2:27" s="38" customFormat="1" ht="15.75" x14ac:dyDescent="0.25">
      <c r="B371" s="35"/>
      <c r="C371" s="174" t="str">
        <f>TEXT(data[[#This Row],[Fecha de Envío
Cotización]],"MMMM")</f>
        <v>mayo</v>
      </c>
      <c r="D371" s="35">
        <v>44319</v>
      </c>
      <c r="E371" s="174" t="str">
        <f>IF(data[[#This Row],[Estatus de 
Cotización]]="PERDIDO","N/A","")</f>
        <v/>
      </c>
      <c r="F371" s="35"/>
      <c r="G371" s="109"/>
      <c r="H371" s="35"/>
      <c r="I371" s="86">
        <v>512055</v>
      </c>
      <c r="J371" s="87">
        <v>2615</v>
      </c>
      <c r="K371" s="24" t="s">
        <v>32</v>
      </c>
      <c r="L371" s="39"/>
      <c r="M371" s="108" t="s">
        <v>1093</v>
      </c>
      <c r="N371" s="39">
        <v>100</v>
      </c>
      <c r="O371" s="40"/>
      <c r="P371" s="107">
        <v>2.31</v>
      </c>
      <c r="Q371" s="28">
        <f>data[[#This Row],[Costo Producto
Proveedor ($/Unid)]]*data[[#This Row],[Cantidad]]</f>
        <v>0</v>
      </c>
      <c r="R371" s="28">
        <f>data[[#This Row],[Cantidad]]*data[[#This Row],[Precio de Venta Cliente ($/Unid)]]</f>
        <v>231</v>
      </c>
      <c r="S371" s="29"/>
      <c r="T371" s="39" t="s">
        <v>119</v>
      </c>
      <c r="U371" s="39"/>
      <c r="V371" s="30" t="s">
        <v>46</v>
      </c>
      <c r="W371" s="32" t="s">
        <v>46</v>
      </c>
      <c r="X371" s="39" t="s">
        <v>23</v>
      </c>
      <c r="Y371" s="39" t="s">
        <v>23</v>
      </c>
      <c r="Z371" s="39" t="s">
        <v>504</v>
      </c>
      <c r="AA371" s="5"/>
    </row>
    <row r="372" spans="2:27" s="38" customFormat="1" ht="15.75" x14ac:dyDescent="0.25">
      <c r="B372" s="35"/>
      <c r="C372" s="174" t="str">
        <f>TEXT(data[[#This Row],[Fecha de Envío
Cotización]],"MMMM")</f>
        <v>mayo</v>
      </c>
      <c r="D372" s="35">
        <v>44319</v>
      </c>
      <c r="E372" s="174" t="str">
        <f>IF(data[[#This Row],[Estatus de 
Cotización]]="PERDIDO","N/A","")</f>
        <v/>
      </c>
      <c r="F372" s="35"/>
      <c r="G372" s="109"/>
      <c r="H372" s="35"/>
      <c r="I372" s="86">
        <v>512056</v>
      </c>
      <c r="J372" s="87">
        <v>2615</v>
      </c>
      <c r="K372" s="24" t="s">
        <v>32</v>
      </c>
      <c r="L372" s="39"/>
      <c r="M372" s="111" t="s">
        <v>1094</v>
      </c>
      <c r="N372" s="39">
        <v>12</v>
      </c>
      <c r="O372" s="40"/>
      <c r="P372" s="107">
        <v>6.78</v>
      </c>
      <c r="Q372" s="28">
        <f>data[[#This Row],[Costo Producto
Proveedor ($/Unid)]]*data[[#This Row],[Cantidad]]</f>
        <v>0</v>
      </c>
      <c r="R372" s="28">
        <f>data[[#This Row],[Cantidad]]*data[[#This Row],[Precio de Venta Cliente ($/Unid)]]</f>
        <v>81.36</v>
      </c>
      <c r="S372" s="29"/>
      <c r="T372" s="39" t="s">
        <v>119</v>
      </c>
      <c r="U372" s="39"/>
      <c r="V372" s="30" t="s">
        <v>46</v>
      </c>
      <c r="W372" s="32" t="s">
        <v>46</v>
      </c>
      <c r="X372" s="39" t="s">
        <v>23</v>
      </c>
      <c r="Y372" s="39" t="s">
        <v>23</v>
      </c>
      <c r="Z372" s="39" t="s">
        <v>504</v>
      </c>
      <c r="AA372" s="5"/>
    </row>
    <row r="373" spans="2:27" s="38" customFormat="1" ht="15.75" x14ac:dyDescent="0.25">
      <c r="B373" s="174"/>
      <c r="C373" s="174" t="str">
        <f>TEXT(data[[#This Row],[Fecha de Envío
Cotización]],"MMMM")</f>
        <v>mayo</v>
      </c>
      <c r="D373" s="174">
        <v>44319</v>
      </c>
      <c r="E373" s="174" t="str">
        <f>IF(data[[#This Row],[Estatus de 
Cotización]]="PERDIDO","N/A","")</f>
        <v/>
      </c>
      <c r="F373" s="174"/>
      <c r="G373" s="109"/>
      <c r="H373" s="174"/>
      <c r="I373" s="86">
        <v>512057</v>
      </c>
      <c r="J373" s="87">
        <v>2615</v>
      </c>
      <c r="K373" s="24" t="s">
        <v>32</v>
      </c>
      <c r="L373" s="106"/>
      <c r="M373" s="111" t="s">
        <v>1095</v>
      </c>
      <c r="N373" s="106">
        <v>100</v>
      </c>
      <c r="O373" s="107"/>
      <c r="P373" s="107">
        <v>2.4700000000000002</v>
      </c>
      <c r="Q373" s="28">
        <f>data[[#This Row],[Costo Producto
Proveedor ($/Unid)]]*data[[#This Row],[Cantidad]]</f>
        <v>0</v>
      </c>
      <c r="R373" s="28">
        <f>data[[#This Row],[Cantidad]]*data[[#This Row],[Precio de Venta Cliente ($/Unid)]]</f>
        <v>247.00000000000003</v>
      </c>
      <c r="S373" s="29"/>
      <c r="T373" s="106" t="s">
        <v>119</v>
      </c>
      <c r="U373" s="106"/>
      <c r="V373" s="30" t="s">
        <v>46</v>
      </c>
      <c r="W373" s="32" t="s">
        <v>46</v>
      </c>
      <c r="X373" s="106" t="s">
        <v>23</v>
      </c>
      <c r="Y373" s="106" t="s">
        <v>23</v>
      </c>
      <c r="Z373" s="106" t="s">
        <v>504</v>
      </c>
      <c r="AA373" s="5"/>
    </row>
    <row r="374" spans="2:27" s="38" customFormat="1" ht="15.75" x14ac:dyDescent="0.25">
      <c r="B374" s="174"/>
      <c r="C374" s="174" t="str">
        <f>TEXT(data[[#This Row],[Fecha de Envío
Cotización]],"MMMM")</f>
        <v>mayo</v>
      </c>
      <c r="D374" s="174">
        <v>44319</v>
      </c>
      <c r="E374" s="174" t="str">
        <f>IF(data[[#This Row],[Estatus de 
Cotización]]="PERDIDO","N/A","")</f>
        <v/>
      </c>
      <c r="F374" s="174"/>
      <c r="G374" s="109"/>
      <c r="H374" s="174"/>
      <c r="I374" s="86">
        <v>512058</v>
      </c>
      <c r="J374" s="87">
        <v>2615</v>
      </c>
      <c r="K374" s="24" t="s">
        <v>32</v>
      </c>
      <c r="L374" s="106"/>
      <c r="M374" s="111" t="s">
        <v>1096</v>
      </c>
      <c r="N374" s="106">
        <v>6</v>
      </c>
      <c r="O374" s="107"/>
      <c r="P374" s="107">
        <v>228.15</v>
      </c>
      <c r="Q374" s="28">
        <f>data[[#This Row],[Costo Producto
Proveedor ($/Unid)]]*data[[#This Row],[Cantidad]]</f>
        <v>0</v>
      </c>
      <c r="R374" s="28">
        <f>data[[#This Row],[Cantidad]]*data[[#This Row],[Precio de Venta Cliente ($/Unid)]]</f>
        <v>1368.9</v>
      </c>
      <c r="S374" s="29"/>
      <c r="T374" s="106" t="s">
        <v>119</v>
      </c>
      <c r="U374" s="106"/>
      <c r="V374" s="30" t="s">
        <v>46</v>
      </c>
      <c r="W374" s="32" t="s">
        <v>46</v>
      </c>
      <c r="X374" s="106" t="s">
        <v>23</v>
      </c>
      <c r="Y374" s="106" t="s">
        <v>23</v>
      </c>
      <c r="Z374" s="106" t="s">
        <v>504</v>
      </c>
      <c r="AA374" s="5"/>
    </row>
    <row r="375" spans="2:27" s="38" customFormat="1" ht="15.75" x14ac:dyDescent="0.25">
      <c r="B375" s="35"/>
      <c r="C375" s="174" t="str">
        <f>TEXT(data[[#This Row],[Fecha de Envío
Cotización]],"MMMM")</f>
        <v>mayo</v>
      </c>
      <c r="D375" s="35">
        <v>44319</v>
      </c>
      <c r="E375" s="174" t="str">
        <f>IF(data[[#This Row],[Estatus de 
Cotización]]="PERDIDO","N/A","")</f>
        <v/>
      </c>
      <c r="F375" s="35"/>
      <c r="G375" s="109"/>
      <c r="H375" s="35"/>
      <c r="I375" s="86">
        <v>512059</v>
      </c>
      <c r="J375" s="87">
        <v>2616</v>
      </c>
      <c r="K375" s="24" t="s">
        <v>32</v>
      </c>
      <c r="L375" s="39"/>
      <c r="M375" s="53" t="s">
        <v>1097</v>
      </c>
      <c r="N375" s="39">
        <v>8</v>
      </c>
      <c r="O375" s="40"/>
      <c r="P375" s="107">
        <v>80.75</v>
      </c>
      <c r="Q375" s="28">
        <f>data[[#This Row],[Costo Producto
Proveedor ($/Unid)]]*data[[#This Row],[Cantidad]]</f>
        <v>0</v>
      </c>
      <c r="R375" s="28">
        <f>data[[#This Row],[Cantidad]]*data[[#This Row],[Precio de Venta Cliente ($/Unid)]]</f>
        <v>646</v>
      </c>
      <c r="S375" s="29"/>
      <c r="T375" s="39" t="s">
        <v>119</v>
      </c>
      <c r="U375" s="39"/>
      <c r="V375" s="30" t="s">
        <v>46</v>
      </c>
      <c r="W375" s="32" t="s">
        <v>46</v>
      </c>
      <c r="X375" s="39" t="s">
        <v>23</v>
      </c>
      <c r="Y375" s="39" t="s">
        <v>23</v>
      </c>
      <c r="Z375" s="39" t="s">
        <v>504</v>
      </c>
      <c r="AA375" s="5"/>
    </row>
    <row r="376" spans="2:27" s="38" customFormat="1" ht="15.75" x14ac:dyDescent="0.25">
      <c r="B376" s="35"/>
      <c r="C376" s="174" t="str">
        <f>TEXT(data[[#This Row],[Fecha de Envío
Cotización]],"MMMM")</f>
        <v>mayo</v>
      </c>
      <c r="D376" s="84">
        <v>44319</v>
      </c>
      <c r="E376" s="174" t="str">
        <f>IF(data[[#This Row],[Estatus de 
Cotización]]="PERDIDO","N/A","")</f>
        <v/>
      </c>
      <c r="F376" s="35"/>
      <c r="G376" s="109"/>
      <c r="H376" s="35"/>
      <c r="I376" s="86">
        <v>512060</v>
      </c>
      <c r="J376" s="87">
        <v>2617</v>
      </c>
      <c r="K376" s="24" t="s">
        <v>32</v>
      </c>
      <c r="L376" s="39"/>
      <c r="M376" s="108" t="s">
        <v>1098</v>
      </c>
      <c r="N376" s="39">
        <v>1</v>
      </c>
      <c r="O376" s="40"/>
      <c r="P376" s="107">
        <v>10330.33</v>
      </c>
      <c r="Q376" s="28">
        <f>data[[#This Row],[Costo Producto
Proveedor ($/Unid)]]*data[[#This Row],[Cantidad]]</f>
        <v>0</v>
      </c>
      <c r="R376" s="28">
        <f>data[[#This Row],[Cantidad]]*data[[#This Row],[Precio de Venta Cliente ($/Unid)]]</f>
        <v>10330.33</v>
      </c>
      <c r="S376" s="29"/>
      <c r="T376" s="39" t="s">
        <v>36</v>
      </c>
      <c r="U376" s="39"/>
      <c r="V376" s="30" t="s">
        <v>46</v>
      </c>
      <c r="W376" s="32" t="s">
        <v>46</v>
      </c>
      <c r="X376" s="39" t="s">
        <v>23</v>
      </c>
      <c r="Y376" s="39" t="s">
        <v>23</v>
      </c>
      <c r="Z376" s="39" t="s">
        <v>504</v>
      </c>
      <c r="AA376" s="5"/>
    </row>
    <row r="377" spans="2:27" s="50" customFormat="1" ht="15.75" x14ac:dyDescent="0.25">
      <c r="B377" s="84"/>
      <c r="C377" s="174" t="str">
        <f>TEXT(data[[#This Row],[Fecha de Envío
Cotización]],"MMMM")</f>
        <v>mayo</v>
      </c>
      <c r="D377" s="84">
        <v>44322</v>
      </c>
      <c r="E377" s="174" t="s">
        <v>473</v>
      </c>
      <c r="F377" s="104" t="s">
        <v>473</v>
      </c>
      <c r="G377" s="109"/>
      <c r="H377" s="104" t="s">
        <v>473</v>
      </c>
      <c r="I377" s="86">
        <v>512093</v>
      </c>
      <c r="J377" s="87">
        <v>30891</v>
      </c>
      <c r="K377" s="24" t="s">
        <v>122</v>
      </c>
      <c r="L377" s="51"/>
      <c r="M377" s="105" t="s">
        <v>1278</v>
      </c>
      <c r="N377" s="51">
        <v>4</v>
      </c>
      <c r="O377" s="52"/>
      <c r="P377" s="107">
        <v>43.92</v>
      </c>
      <c r="Q377" s="28">
        <f>data[[#This Row],[Costo Producto
Proveedor ($/Unid)]]*data[[#This Row],[Cantidad]]</f>
        <v>0</v>
      </c>
      <c r="R377" s="28">
        <f>data[[#This Row],[Cantidad]]*data[[#This Row],[Precio de Venta Cliente ($/Unid)]]</f>
        <v>175.68</v>
      </c>
      <c r="S377" s="29"/>
      <c r="T377" s="51" t="s">
        <v>119</v>
      </c>
      <c r="U377" s="51"/>
      <c r="V377" s="30" t="s">
        <v>473</v>
      </c>
      <c r="W377" s="32" t="s">
        <v>473</v>
      </c>
      <c r="X377" s="51" t="s">
        <v>473</v>
      </c>
      <c r="Y377" s="51" t="s">
        <v>473</v>
      </c>
      <c r="Z377" s="51" t="s">
        <v>504</v>
      </c>
      <c r="AA377" s="5"/>
    </row>
    <row r="378" spans="2:27" s="50" customFormat="1" ht="15.75" x14ac:dyDescent="0.25">
      <c r="B378" s="84"/>
      <c r="C378" s="174" t="str">
        <f>TEXT(data[[#This Row],[Fecha de Envío
Cotización]],"MMMM")</f>
        <v>mayo</v>
      </c>
      <c r="D378" s="99">
        <v>44322</v>
      </c>
      <c r="E378" s="174" t="str">
        <f>IF(data[[#This Row],[Estatus de 
Cotización]]="PERDIDO","N/A","")</f>
        <v/>
      </c>
      <c r="F378" s="84"/>
      <c r="G378" s="109"/>
      <c r="H378" s="84"/>
      <c r="I378" s="86">
        <v>512094</v>
      </c>
      <c r="J378" s="87">
        <v>30890</v>
      </c>
      <c r="K378" s="24" t="s">
        <v>122</v>
      </c>
      <c r="L378" s="51"/>
      <c r="M378" s="105" t="s">
        <v>1279</v>
      </c>
      <c r="N378" s="51">
        <v>1500</v>
      </c>
      <c r="O378" s="52"/>
      <c r="P378" s="107">
        <v>7.79</v>
      </c>
      <c r="Q378" s="28">
        <f>data[[#This Row],[Costo Producto
Proveedor ($/Unid)]]*data[[#This Row],[Cantidad]]</f>
        <v>0</v>
      </c>
      <c r="R378" s="28">
        <f>data[[#This Row],[Cantidad]]*data[[#This Row],[Precio de Venta Cliente ($/Unid)]]</f>
        <v>11685</v>
      </c>
      <c r="S378" s="29"/>
      <c r="T378" s="51" t="s">
        <v>119</v>
      </c>
      <c r="U378" s="51"/>
      <c r="V378" s="30" t="s">
        <v>46</v>
      </c>
      <c r="W378" s="32" t="s">
        <v>46</v>
      </c>
      <c r="X378" s="51" t="s">
        <v>23</v>
      </c>
      <c r="Y378" s="51" t="s">
        <v>23</v>
      </c>
      <c r="Z378" s="51" t="s">
        <v>504</v>
      </c>
      <c r="AA378" s="5"/>
    </row>
    <row r="379" spans="2:27" s="38" customFormat="1" ht="15.75" x14ac:dyDescent="0.25">
      <c r="B379" s="35"/>
      <c r="C379" s="174" t="str">
        <f>TEXT(data[[#This Row],[Fecha de Envío
Cotización]],"MMMM")</f>
        <v>mayo</v>
      </c>
      <c r="D379" s="35">
        <v>44322</v>
      </c>
      <c r="E379" s="174" t="str">
        <f>IF(data[[#This Row],[Estatus de 
Cotización]]="PERDIDO","N/A","")</f>
        <v/>
      </c>
      <c r="F379" s="35"/>
      <c r="G379" s="109"/>
      <c r="H379" s="35"/>
      <c r="I379" s="86">
        <v>512095</v>
      </c>
      <c r="J379" s="87">
        <v>30895</v>
      </c>
      <c r="K379" s="24" t="s">
        <v>122</v>
      </c>
      <c r="L379" s="39"/>
      <c r="M379" s="105" t="s">
        <v>1280</v>
      </c>
      <c r="N379" s="39">
        <v>120</v>
      </c>
      <c r="O379" s="40"/>
      <c r="P379" s="107">
        <v>6.9</v>
      </c>
      <c r="Q379" s="28">
        <f>data[[#This Row],[Costo Producto
Proveedor ($/Unid)]]*data[[#This Row],[Cantidad]]</f>
        <v>0</v>
      </c>
      <c r="R379" s="28">
        <f>data[[#This Row],[Cantidad]]*data[[#This Row],[Precio de Venta Cliente ($/Unid)]]</f>
        <v>828</v>
      </c>
      <c r="S379" s="29"/>
      <c r="T379" s="39" t="s">
        <v>119</v>
      </c>
      <c r="U379" s="39"/>
      <c r="V379" s="30" t="s">
        <v>46</v>
      </c>
      <c r="W379" s="32" t="s">
        <v>46</v>
      </c>
      <c r="X379" s="39" t="s">
        <v>23</v>
      </c>
      <c r="Y379" s="39" t="s">
        <v>23</v>
      </c>
      <c r="Z379" s="39" t="s">
        <v>504</v>
      </c>
      <c r="AA379" s="5"/>
    </row>
    <row r="380" spans="2:27" s="38" customFormat="1" ht="15.75" x14ac:dyDescent="0.25">
      <c r="B380" s="174"/>
      <c r="C380" s="174" t="str">
        <f>TEXT(data[[#This Row],[Fecha de Envío
Cotización]],"MMMM")</f>
        <v>mayo</v>
      </c>
      <c r="D380" s="174">
        <v>44323</v>
      </c>
      <c r="E380" s="174">
        <v>44323</v>
      </c>
      <c r="F380" s="174">
        <v>44323</v>
      </c>
      <c r="G380" s="109" t="s">
        <v>1470</v>
      </c>
      <c r="H380" s="174">
        <v>44323</v>
      </c>
      <c r="I380" s="86">
        <v>5115945</v>
      </c>
      <c r="J380" s="87">
        <v>30891</v>
      </c>
      <c r="K380" s="24" t="s">
        <v>122</v>
      </c>
      <c r="L380" s="106"/>
      <c r="M380" s="105" t="s">
        <v>1278</v>
      </c>
      <c r="N380" s="106">
        <v>1</v>
      </c>
      <c r="O380" s="107"/>
      <c r="P380" s="107">
        <v>42.84</v>
      </c>
      <c r="Q380" s="28">
        <f>data[[#This Row],[Costo Producto
Proveedor ($/Unid)]]*data[[#This Row],[Cantidad]]</f>
        <v>0</v>
      </c>
      <c r="R380" s="120">
        <f>data[[#This Row],[Cantidad]]*data[[#This Row],[Precio de Venta Cliente ($/Unid)]]</f>
        <v>42.84</v>
      </c>
      <c r="S380" s="29"/>
      <c r="T380" s="106" t="s">
        <v>119</v>
      </c>
      <c r="U380" s="106"/>
      <c r="V380" s="30" t="s">
        <v>44</v>
      </c>
      <c r="W380" s="32" t="s">
        <v>44</v>
      </c>
      <c r="X380" s="106" t="s">
        <v>45</v>
      </c>
      <c r="Y380" s="106" t="s">
        <v>503</v>
      </c>
      <c r="Z380" s="106" t="s">
        <v>504</v>
      </c>
      <c r="AA380" s="5"/>
    </row>
    <row r="381" spans="2:27" s="105" customFormat="1" ht="15.75" x14ac:dyDescent="0.25">
      <c r="B381" s="174"/>
      <c r="C381" s="174" t="str">
        <f>TEXT(data[[#This Row],[Fecha de Envío
Cotización]],"MMMM")</f>
        <v>mayo</v>
      </c>
      <c r="D381" s="174">
        <v>44323</v>
      </c>
      <c r="E381" s="174">
        <v>44343</v>
      </c>
      <c r="F381" s="174"/>
      <c r="G381" s="109">
        <v>9641</v>
      </c>
      <c r="H381" s="174">
        <v>44343</v>
      </c>
      <c r="I381" s="86"/>
      <c r="J381" s="87">
        <v>2621</v>
      </c>
      <c r="K381" s="24" t="s">
        <v>534</v>
      </c>
      <c r="L381" s="106"/>
      <c r="M381" s="105" t="s">
        <v>1746</v>
      </c>
      <c r="N381" s="106">
        <v>1</v>
      </c>
      <c r="O381" s="107"/>
      <c r="P381" s="107">
        <v>101.39</v>
      </c>
      <c r="Q381" s="28">
        <f>data[[#This Row],[Costo Producto
Proveedor ($/Unid)]]*data[[#This Row],[Cantidad]]</f>
        <v>0</v>
      </c>
      <c r="R381" s="120">
        <f>data[[#This Row],[Cantidad]]*data[[#This Row],[Precio de Venta Cliente ($/Unid)]]</f>
        <v>101.39</v>
      </c>
      <c r="S381" s="29"/>
      <c r="T381" s="106" t="s">
        <v>73</v>
      </c>
      <c r="U381" s="106"/>
      <c r="V381" s="30" t="s">
        <v>44</v>
      </c>
      <c r="W381" s="32" t="s">
        <v>44</v>
      </c>
      <c r="X381" s="106" t="s">
        <v>503</v>
      </c>
      <c r="Y381" s="106" t="s">
        <v>47</v>
      </c>
      <c r="Z381" s="106" t="s">
        <v>504</v>
      </c>
      <c r="AA381" s="5"/>
    </row>
    <row r="382" spans="2:27" s="105" customFormat="1" ht="15.75" x14ac:dyDescent="0.25">
      <c r="B382" s="174"/>
      <c r="C382" s="174" t="str">
        <f>TEXT(data[[#This Row],[Fecha de Envío
Cotización]],"MMMM")</f>
        <v>mayo</v>
      </c>
      <c r="D382" s="174">
        <v>44323</v>
      </c>
      <c r="E382" s="174">
        <v>44343</v>
      </c>
      <c r="F382" s="174"/>
      <c r="G382" s="109">
        <v>9641</v>
      </c>
      <c r="H382" s="174">
        <v>44343</v>
      </c>
      <c r="I382" s="86"/>
      <c r="J382" s="87">
        <v>2621</v>
      </c>
      <c r="K382" s="24" t="s">
        <v>534</v>
      </c>
      <c r="L382" s="106"/>
      <c r="M382" s="105" t="s">
        <v>1747</v>
      </c>
      <c r="N382" s="106">
        <v>2</v>
      </c>
      <c r="O382" s="107"/>
      <c r="P382" s="107">
        <v>75.510000000000005</v>
      </c>
      <c r="Q382" s="28">
        <f>data[[#This Row],[Costo Producto
Proveedor ($/Unid)]]*data[[#This Row],[Cantidad]]</f>
        <v>0</v>
      </c>
      <c r="R382" s="120">
        <f>data[[#This Row],[Cantidad]]*data[[#This Row],[Precio de Venta Cliente ($/Unid)]]</f>
        <v>151.02000000000001</v>
      </c>
      <c r="S382" s="29"/>
      <c r="T382" s="106" t="s">
        <v>73</v>
      </c>
      <c r="U382" s="106"/>
      <c r="V382" s="30" t="s">
        <v>44</v>
      </c>
      <c r="W382" s="32" t="s">
        <v>44</v>
      </c>
      <c r="X382" s="106" t="s">
        <v>503</v>
      </c>
      <c r="Y382" s="106" t="s">
        <v>47</v>
      </c>
      <c r="Z382" s="106" t="s">
        <v>504</v>
      </c>
      <c r="AA382" s="5"/>
    </row>
    <row r="383" spans="2:27" s="105" customFormat="1" ht="15.75" x14ac:dyDescent="0.25">
      <c r="B383" s="174"/>
      <c r="C383" s="174" t="str">
        <f>TEXT(data[[#This Row],[Fecha de Envío
Cotización]],"MMMM")</f>
        <v>mayo</v>
      </c>
      <c r="D383" s="174">
        <v>44323</v>
      </c>
      <c r="E383" s="174" t="str">
        <f>IF(data[[#This Row],[Estatus de 
Cotización]]="PERDIDO","N/A","")</f>
        <v>N/A</v>
      </c>
      <c r="F383" s="174"/>
      <c r="G383" s="109"/>
      <c r="H383" s="174"/>
      <c r="I383" s="86"/>
      <c r="J383" s="87">
        <v>2621</v>
      </c>
      <c r="K383" s="24" t="s">
        <v>534</v>
      </c>
      <c r="L383" s="106"/>
      <c r="M383" s="105" t="s">
        <v>1748</v>
      </c>
      <c r="N383" s="106">
        <v>3</v>
      </c>
      <c r="O383" s="107"/>
      <c r="P383" s="107">
        <v>9.0299999999999994</v>
      </c>
      <c r="Q383" s="28">
        <f>data[[#This Row],[Costo Producto
Proveedor ($/Unid)]]*data[[#This Row],[Cantidad]]</f>
        <v>0</v>
      </c>
      <c r="R383" s="120">
        <f>data[[#This Row],[Cantidad]]*data[[#This Row],[Precio de Venta Cliente ($/Unid)]]</f>
        <v>27.089999999999996</v>
      </c>
      <c r="S383" s="29"/>
      <c r="T383" s="106" t="s">
        <v>73</v>
      </c>
      <c r="U383" s="106"/>
      <c r="V383" s="30" t="s">
        <v>42</v>
      </c>
      <c r="W383" s="32" t="s">
        <v>42</v>
      </c>
      <c r="X383" s="106" t="s">
        <v>23</v>
      </c>
      <c r="Y383" s="106" t="s">
        <v>23</v>
      </c>
      <c r="Z383" s="106" t="s">
        <v>504</v>
      </c>
      <c r="AA383" s="5"/>
    </row>
    <row r="384" spans="2:27" s="105" customFormat="1" ht="15.75" x14ac:dyDescent="0.25">
      <c r="B384" s="174"/>
      <c r="C384" s="174" t="str">
        <f>TEXT(data[[#This Row],[Fecha de Envío
Cotización]],"MMMM")</f>
        <v>mayo</v>
      </c>
      <c r="D384" s="174">
        <v>44323</v>
      </c>
      <c r="E384" s="174" t="str">
        <f>IF(data[[#This Row],[Estatus de 
Cotización]]="PERDIDO","N/A","")</f>
        <v>N/A</v>
      </c>
      <c r="F384" s="174"/>
      <c r="G384" s="109"/>
      <c r="H384" s="174"/>
      <c r="I384" s="86"/>
      <c r="J384" s="87">
        <v>2621</v>
      </c>
      <c r="K384" s="24" t="s">
        <v>534</v>
      </c>
      <c r="L384" s="106"/>
      <c r="M384" s="105" t="s">
        <v>1749</v>
      </c>
      <c r="N384" s="106">
        <v>16</v>
      </c>
      <c r="O384" s="107"/>
      <c r="P384" s="107">
        <v>3.04</v>
      </c>
      <c r="Q384" s="28">
        <f>data[[#This Row],[Costo Producto
Proveedor ($/Unid)]]*data[[#This Row],[Cantidad]]</f>
        <v>0</v>
      </c>
      <c r="R384" s="120">
        <f>data[[#This Row],[Cantidad]]*data[[#This Row],[Precio de Venta Cliente ($/Unid)]]</f>
        <v>48.64</v>
      </c>
      <c r="S384" s="29"/>
      <c r="T384" s="106" t="s">
        <v>73</v>
      </c>
      <c r="U384" s="106"/>
      <c r="V384" s="30" t="s">
        <v>42</v>
      </c>
      <c r="W384" s="32" t="s">
        <v>42</v>
      </c>
      <c r="X384" s="106" t="s">
        <v>23</v>
      </c>
      <c r="Y384" s="106" t="s">
        <v>23</v>
      </c>
      <c r="Z384" s="106" t="s">
        <v>504</v>
      </c>
      <c r="AA384" s="5"/>
    </row>
    <row r="385" spans="2:27" s="105" customFormat="1" ht="15.75" x14ac:dyDescent="0.25">
      <c r="B385" s="174"/>
      <c r="C385" s="174" t="str">
        <f>TEXT(data[[#This Row],[Fecha de Envío
Cotización]],"MMMM")</f>
        <v>mayo</v>
      </c>
      <c r="D385" s="174">
        <v>44323</v>
      </c>
      <c r="E385" s="174">
        <v>44343</v>
      </c>
      <c r="F385" s="174"/>
      <c r="G385" s="109">
        <v>9641</v>
      </c>
      <c r="H385" s="174">
        <v>44343</v>
      </c>
      <c r="I385" s="86"/>
      <c r="J385" s="87">
        <v>2621</v>
      </c>
      <c r="K385" s="24" t="s">
        <v>534</v>
      </c>
      <c r="L385" s="106"/>
      <c r="M385" s="105" t="s">
        <v>1750</v>
      </c>
      <c r="N385" s="106">
        <v>1</v>
      </c>
      <c r="O385" s="107"/>
      <c r="P385" s="107">
        <v>87.28</v>
      </c>
      <c r="Q385" s="28">
        <f>data[[#This Row],[Costo Producto
Proveedor ($/Unid)]]*data[[#This Row],[Cantidad]]</f>
        <v>0</v>
      </c>
      <c r="R385" s="120">
        <f>data[[#This Row],[Cantidad]]*data[[#This Row],[Precio de Venta Cliente ($/Unid)]]</f>
        <v>87.28</v>
      </c>
      <c r="S385" s="29"/>
      <c r="T385" s="106" t="s">
        <v>73</v>
      </c>
      <c r="U385" s="106"/>
      <c r="V385" s="30" t="s">
        <v>44</v>
      </c>
      <c r="W385" s="32" t="s">
        <v>44</v>
      </c>
      <c r="X385" s="106" t="s">
        <v>503</v>
      </c>
      <c r="Y385" s="106" t="s">
        <v>47</v>
      </c>
      <c r="Z385" s="106" t="s">
        <v>504</v>
      </c>
      <c r="AA385" s="5"/>
    </row>
    <row r="386" spans="2:27" s="38" customFormat="1" x14ac:dyDescent="0.25">
      <c r="B386" s="104"/>
      <c r="C386" s="174" t="str">
        <f>TEXT(data[[#This Row],[Fecha de Envío
Cotización]],"MMMM")</f>
        <v>mayo</v>
      </c>
      <c r="D386" s="35">
        <v>44327</v>
      </c>
      <c r="E386" s="174" t="str">
        <f>IF(data[[#This Row],[Estatus de 
Cotización]]="PERDIDO","N/A","")</f>
        <v/>
      </c>
      <c r="F386" s="104"/>
      <c r="G386" s="109"/>
      <c r="H386" s="104"/>
      <c r="I386" s="86">
        <v>5115968</v>
      </c>
      <c r="J386" s="87">
        <v>2623</v>
      </c>
      <c r="K386" s="110" t="s">
        <v>534</v>
      </c>
      <c r="L386" s="39"/>
      <c r="M386" s="108" t="s">
        <v>1422</v>
      </c>
      <c r="N386" s="39">
        <v>11</v>
      </c>
      <c r="O386" s="40"/>
      <c r="P386" s="107">
        <v>6.6</v>
      </c>
      <c r="Q386" s="28">
        <f>data[[#This Row],[Costo Producto
Proveedor ($/Unid)]]*data[[#This Row],[Cantidad]]</f>
        <v>0</v>
      </c>
      <c r="R386" s="28">
        <f>data[[#This Row],[Cantidad]]*data[[#This Row],[Precio de Venta Cliente ($/Unid)]]</f>
        <v>72.599999999999994</v>
      </c>
      <c r="S386" s="29"/>
      <c r="T386" s="109" t="s">
        <v>15</v>
      </c>
      <c r="U386" s="109"/>
      <c r="V386" s="30" t="s">
        <v>46</v>
      </c>
      <c r="W386" s="32" t="s">
        <v>46</v>
      </c>
      <c r="X386" s="39" t="s">
        <v>23</v>
      </c>
      <c r="Y386" s="39" t="s">
        <v>23</v>
      </c>
      <c r="Z386" s="39" t="s">
        <v>504</v>
      </c>
      <c r="AA386" s="109"/>
    </row>
    <row r="387" spans="2:27" s="38" customFormat="1" x14ac:dyDescent="0.25">
      <c r="B387" s="104"/>
      <c r="C387" s="174" t="str">
        <f>TEXT(data[[#This Row],[Fecha de Envío
Cotización]],"MMMM")</f>
        <v>mayo</v>
      </c>
      <c r="D387" s="35">
        <v>44327</v>
      </c>
      <c r="E387" s="174" t="str">
        <f>IF(data[[#This Row],[Estatus de 
Cotización]]="PERDIDO","N/A","")</f>
        <v/>
      </c>
      <c r="F387" s="104"/>
      <c r="G387" s="109"/>
      <c r="H387" s="104"/>
      <c r="I387" s="86">
        <v>5115969</v>
      </c>
      <c r="J387" s="87">
        <v>2623</v>
      </c>
      <c r="K387" s="110" t="s">
        <v>534</v>
      </c>
      <c r="L387" s="39"/>
      <c r="M387" s="108" t="s">
        <v>1423</v>
      </c>
      <c r="N387" s="39">
        <v>2</v>
      </c>
      <c r="O387" s="40"/>
      <c r="P387" s="107">
        <v>5.27</v>
      </c>
      <c r="Q387" s="28">
        <f>data[[#This Row],[Costo Producto
Proveedor ($/Unid)]]*data[[#This Row],[Cantidad]]</f>
        <v>0</v>
      </c>
      <c r="R387" s="28">
        <f>data[[#This Row],[Cantidad]]*data[[#This Row],[Precio de Venta Cliente ($/Unid)]]</f>
        <v>10.54</v>
      </c>
      <c r="S387" s="29"/>
      <c r="T387" s="109" t="s">
        <v>15</v>
      </c>
      <c r="U387" s="109"/>
      <c r="V387" s="30" t="s">
        <v>46</v>
      </c>
      <c r="W387" s="32" t="s">
        <v>46</v>
      </c>
      <c r="X387" s="39" t="s">
        <v>23</v>
      </c>
      <c r="Y387" s="39" t="s">
        <v>23</v>
      </c>
      <c r="Z387" s="39" t="s">
        <v>504</v>
      </c>
      <c r="AA387" s="109"/>
    </row>
    <row r="388" spans="2:27" s="38" customFormat="1" x14ac:dyDescent="0.25">
      <c r="B388" s="104"/>
      <c r="C388" s="174" t="str">
        <f>TEXT(data[[#This Row],[Fecha de Envío
Cotización]],"MMMM")</f>
        <v>mayo</v>
      </c>
      <c r="D388" s="35">
        <v>44327</v>
      </c>
      <c r="E388" s="174" t="str">
        <f>IF(data[[#This Row],[Estatus de 
Cotización]]="PERDIDO","N/A","")</f>
        <v/>
      </c>
      <c r="F388" s="104"/>
      <c r="G388" s="109"/>
      <c r="H388" s="104"/>
      <c r="I388" s="86">
        <v>5115970</v>
      </c>
      <c r="J388" s="87">
        <v>2623</v>
      </c>
      <c r="K388" s="110" t="s">
        <v>534</v>
      </c>
      <c r="L388" s="39"/>
      <c r="M388" s="108" t="s">
        <v>1424</v>
      </c>
      <c r="N388" s="39">
        <v>2</v>
      </c>
      <c r="O388" s="40"/>
      <c r="P388" s="107">
        <v>4</v>
      </c>
      <c r="Q388" s="28">
        <f>data[[#This Row],[Costo Producto
Proveedor ($/Unid)]]*data[[#This Row],[Cantidad]]</f>
        <v>0</v>
      </c>
      <c r="R388" s="28">
        <f>data[[#This Row],[Cantidad]]*data[[#This Row],[Precio de Venta Cliente ($/Unid)]]</f>
        <v>8</v>
      </c>
      <c r="S388" s="29"/>
      <c r="T388" s="109" t="s">
        <v>15</v>
      </c>
      <c r="U388" s="109"/>
      <c r="V388" s="30" t="s">
        <v>46</v>
      </c>
      <c r="W388" s="32" t="s">
        <v>46</v>
      </c>
      <c r="X388" s="39" t="s">
        <v>23</v>
      </c>
      <c r="Y388" s="39" t="s">
        <v>23</v>
      </c>
      <c r="Z388" s="39" t="s">
        <v>504</v>
      </c>
      <c r="AA388" s="109"/>
    </row>
    <row r="389" spans="2:27" s="38" customFormat="1" x14ac:dyDescent="0.25">
      <c r="B389" s="104"/>
      <c r="C389" s="174" t="str">
        <f>TEXT(data[[#This Row],[Fecha de Envío
Cotización]],"MMMM")</f>
        <v>mayo</v>
      </c>
      <c r="D389" s="35">
        <v>44327</v>
      </c>
      <c r="E389" s="174" t="str">
        <f>IF(data[[#This Row],[Estatus de 
Cotización]]="PERDIDO","N/A","")</f>
        <v/>
      </c>
      <c r="F389" s="104"/>
      <c r="G389" s="109"/>
      <c r="H389" s="104"/>
      <c r="I389" s="86">
        <v>5115971</v>
      </c>
      <c r="J389" s="87">
        <v>2623</v>
      </c>
      <c r="K389" s="110" t="s">
        <v>534</v>
      </c>
      <c r="L389" s="39"/>
      <c r="M389" s="108" t="s">
        <v>1425</v>
      </c>
      <c r="N389" s="39">
        <v>3</v>
      </c>
      <c r="O389" s="40"/>
      <c r="P389" s="107">
        <v>29.77</v>
      </c>
      <c r="Q389" s="28">
        <f>data[[#This Row],[Costo Producto
Proveedor ($/Unid)]]*data[[#This Row],[Cantidad]]</f>
        <v>0</v>
      </c>
      <c r="R389" s="28">
        <f>data[[#This Row],[Cantidad]]*data[[#This Row],[Precio de Venta Cliente ($/Unid)]]</f>
        <v>89.31</v>
      </c>
      <c r="S389" s="29"/>
      <c r="T389" s="109" t="s">
        <v>15</v>
      </c>
      <c r="U389" s="109"/>
      <c r="V389" s="30" t="s">
        <v>46</v>
      </c>
      <c r="W389" s="32" t="s">
        <v>46</v>
      </c>
      <c r="X389" s="39" t="s">
        <v>23</v>
      </c>
      <c r="Y389" s="39" t="s">
        <v>23</v>
      </c>
      <c r="Z389" s="39" t="s">
        <v>504</v>
      </c>
      <c r="AA389" s="109"/>
    </row>
    <row r="390" spans="2:27" s="38" customFormat="1" x14ac:dyDescent="0.25">
      <c r="B390" s="174"/>
      <c r="C390" s="174" t="str">
        <f>TEXT(data[[#This Row],[Fecha de Envío
Cotización]],"MMMM")</f>
        <v>mayo</v>
      </c>
      <c r="D390" s="174">
        <v>44327</v>
      </c>
      <c r="E390" s="174" t="str">
        <f>IF(data[[#This Row],[Estatus de 
Cotización]]="PERDIDO","N/A","")</f>
        <v/>
      </c>
      <c r="F390" s="174"/>
      <c r="G390" s="109"/>
      <c r="H390" s="174"/>
      <c r="I390" s="86">
        <v>5115972</v>
      </c>
      <c r="J390" s="87">
        <v>2623</v>
      </c>
      <c r="K390" s="110" t="s">
        <v>534</v>
      </c>
      <c r="L390" s="106"/>
      <c r="M390" s="108" t="s">
        <v>1426</v>
      </c>
      <c r="N390" s="106">
        <v>3</v>
      </c>
      <c r="O390" s="107"/>
      <c r="P390" s="107">
        <v>8.1999999999999993</v>
      </c>
      <c r="Q390" s="28">
        <f>data[[#This Row],[Costo Producto
Proveedor ($/Unid)]]*data[[#This Row],[Cantidad]]</f>
        <v>0</v>
      </c>
      <c r="R390" s="28">
        <f>data[[#This Row],[Cantidad]]*data[[#This Row],[Precio de Venta Cliente ($/Unid)]]</f>
        <v>24.599999999999998</v>
      </c>
      <c r="S390" s="29"/>
      <c r="T390" s="109" t="s">
        <v>15</v>
      </c>
      <c r="U390" s="109"/>
      <c r="V390" s="30" t="s">
        <v>46</v>
      </c>
      <c r="W390" s="32" t="s">
        <v>46</v>
      </c>
      <c r="X390" s="106" t="s">
        <v>23</v>
      </c>
      <c r="Y390" s="106" t="s">
        <v>23</v>
      </c>
      <c r="Z390" s="106" t="s">
        <v>504</v>
      </c>
      <c r="AA390" s="109"/>
    </row>
    <row r="391" spans="2:27" s="38" customFormat="1" x14ac:dyDescent="0.25">
      <c r="B391" s="174"/>
      <c r="C391" s="174" t="str">
        <f>TEXT(data[[#This Row],[Fecha de Envío
Cotización]],"MMMM")</f>
        <v>mayo</v>
      </c>
      <c r="D391" s="174">
        <v>44327</v>
      </c>
      <c r="E391" s="174" t="str">
        <f>IF(data[[#This Row],[Estatus de 
Cotización]]="PERDIDO","N/A","")</f>
        <v/>
      </c>
      <c r="F391" s="174"/>
      <c r="G391" s="109"/>
      <c r="H391" s="174"/>
      <c r="I391" s="86">
        <v>5115973</v>
      </c>
      <c r="J391" s="87">
        <v>2623</v>
      </c>
      <c r="K391" s="110" t="s">
        <v>534</v>
      </c>
      <c r="L391" s="106"/>
      <c r="M391" s="108" t="s">
        <v>1427</v>
      </c>
      <c r="N391" s="106">
        <v>1</v>
      </c>
      <c r="O391" s="107"/>
      <c r="P391" s="107">
        <v>7.08</v>
      </c>
      <c r="Q391" s="28">
        <f>data[[#This Row],[Costo Producto
Proveedor ($/Unid)]]*data[[#This Row],[Cantidad]]</f>
        <v>0</v>
      </c>
      <c r="R391" s="28">
        <f>data[[#This Row],[Cantidad]]*data[[#This Row],[Precio de Venta Cliente ($/Unid)]]</f>
        <v>7.08</v>
      </c>
      <c r="S391" s="29"/>
      <c r="T391" s="109" t="s">
        <v>15</v>
      </c>
      <c r="U391" s="109"/>
      <c r="V391" s="30" t="s">
        <v>46</v>
      </c>
      <c r="W391" s="32" t="s">
        <v>46</v>
      </c>
      <c r="X391" s="106" t="s">
        <v>23</v>
      </c>
      <c r="Y391" s="106" t="s">
        <v>23</v>
      </c>
      <c r="Z391" s="106" t="s">
        <v>504</v>
      </c>
      <c r="AA391" s="109"/>
    </row>
    <row r="392" spans="2:27" s="38" customFormat="1" x14ac:dyDescent="0.25">
      <c r="B392" s="174"/>
      <c r="C392" s="174" t="str">
        <f>TEXT(data[[#This Row],[Fecha de Envío
Cotización]],"MMMM")</f>
        <v>mayo</v>
      </c>
      <c r="D392" s="174">
        <v>44327</v>
      </c>
      <c r="E392" s="174" t="str">
        <f>IF(data[[#This Row],[Estatus de 
Cotización]]="PERDIDO","N/A","")</f>
        <v/>
      </c>
      <c r="F392" s="174"/>
      <c r="G392" s="109"/>
      <c r="H392" s="174"/>
      <c r="I392" s="86">
        <v>5115974</v>
      </c>
      <c r="J392" s="87">
        <v>2623</v>
      </c>
      <c r="K392" s="110" t="s">
        <v>534</v>
      </c>
      <c r="L392" s="106"/>
      <c r="M392" s="108" t="s">
        <v>1428</v>
      </c>
      <c r="N392" s="106">
        <v>3</v>
      </c>
      <c r="O392" s="107"/>
      <c r="P392" s="107">
        <v>7.4</v>
      </c>
      <c r="Q392" s="28">
        <f>data[[#This Row],[Costo Producto
Proveedor ($/Unid)]]*data[[#This Row],[Cantidad]]</f>
        <v>0</v>
      </c>
      <c r="R392" s="28">
        <f>data[[#This Row],[Cantidad]]*data[[#This Row],[Precio de Venta Cliente ($/Unid)]]</f>
        <v>22.200000000000003</v>
      </c>
      <c r="S392" s="29"/>
      <c r="T392" s="109" t="s">
        <v>15</v>
      </c>
      <c r="U392" s="109"/>
      <c r="V392" s="30" t="s">
        <v>46</v>
      </c>
      <c r="W392" s="32" t="s">
        <v>46</v>
      </c>
      <c r="X392" s="106" t="s">
        <v>23</v>
      </c>
      <c r="Y392" s="106" t="s">
        <v>23</v>
      </c>
      <c r="Z392" s="106" t="s">
        <v>504</v>
      </c>
      <c r="AA392" s="109"/>
    </row>
    <row r="393" spans="2:27" s="38" customFormat="1" ht="15.75" x14ac:dyDescent="0.25">
      <c r="B393" s="35"/>
      <c r="C393" s="174" t="str">
        <f>TEXT(data[[#This Row],[Fecha de Envío
Cotización]],"MMMM")</f>
        <v>mayo</v>
      </c>
      <c r="D393" s="124">
        <v>44327</v>
      </c>
      <c r="E393" s="174">
        <v>44327</v>
      </c>
      <c r="F393" s="35">
        <v>44327</v>
      </c>
      <c r="G393" s="109">
        <v>5249</v>
      </c>
      <c r="H393" s="35">
        <v>44327</v>
      </c>
      <c r="I393" s="86">
        <v>5115945</v>
      </c>
      <c r="J393" s="87">
        <v>30910</v>
      </c>
      <c r="K393" s="24" t="s">
        <v>122</v>
      </c>
      <c r="L393" s="39"/>
      <c r="M393" s="105" t="s">
        <v>1278</v>
      </c>
      <c r="N393" s="39">
        <v>3</v>
      </c>
      <c r="O393" s="40"/>
      <c r="P393" s="107">
        <v>42.84</v>
      </c>
      <c r="Q393" s="28">
        <f>data[[#This Row],[Costo Producto
Proveedor ($/Unid)]]*data[[#This Row],[Cantidad]]</f>
        <v>0</v>
      </c>
      <c r="R393" s="120">
        <f>data[[#This Row],[Cantidad]]*data[[#This Row],[Precio de Venta Cliente ($/Unid)]]</f>
        <v>128.52000000000001</v>
      </c>
      <c r="S393" s="29"/>
      <c r="T393" s="39" t="s">
        <v>119</v>
      </c>
      <c r="U393" s="39"/>
      <c r="V393" s="30" t="s">
        <v>44</v>
      </c>
      <c r="W393" s="32" t="s">
        <v>44</v>
      </c>
      <c r="X393" s="39" t="s">
        <v>45</v>
      </c>
      <c r="Y393" s="39" t="s">
        <v>503</v>
      </c>
      <c r="Z393" s="39" t="s">
        <v>504</v>
      </c>
      <c r="AA393" s="5"/>
    </row>
    <row r="394" spans="2:27" s="105" customFormat="1" ht="15.75" x14ac:dyDescent="0.25">
      <c r="B394" s="104"/>
      <c r="C394" s="174" t="str">
        <f>TEXT(data[[#This Row],[Fecha de Envío
Cotización]],"MMMM")</f>
        <v>mayo</v>
      </c>
      <c r="D394" s="124">
        <v>44333</v>
      </c>
      <c r="E394" s="174" t="str">
        <f>IF(data[[#This Row],[Estatus de 
Cotización]]="PERDIDO","N/A","")</f>
        <v/>
      </c>
      <c r="F394" s="104"/>
      <c r="G394" s="109"/>
      <c r="H394" s="104"/>
      <c r="I394" s="86" t="s">
        <v>1620</v>
      </c>
      <c r="J394" s="87">
        <v>30920</v>
      </c>
      <c r="K394" s="24" t="s">
        <v>122</v>
      </c>
      <c r="L394" s="106"/>
      <c r="M394" s="105" t="s">
        <v>1521</v>
      </c>
      <c r="N394" s="106">
        <v>3000</v>
      </c>
      <c r="O394" s="107"/>
      <c r="P394" s="107">
        <v>0.66</v>
      </c>
      <c r="Q394" s="28">
        <f>data[[#This Row],[Costo Producto
Proveedor ($/Unid)]]*data[[#This Row],[Cantidad]]</f>
        <v>0</v>
      </c>
      <c r="R394" s="120">
        <f>data[[#This Row],[Cantidad]]*data[[#This Row],[Precio de Venta Cliente ($/Unid)]]</f>
        <v>1980</v>
      </c>
      <c r="S394" s="29"/>
      <c r="T394" s="106" t="s">
        <v>22</v>
      </c>
      <c r="U394" s="106"/>
      <c r="V394" s="30" t="s">
        <v>46</v>
      </c>
      <c r="W394" s="32" t="s">
        <v>46</v>
      </c>
      <c r="X394" s="106" t="s">
        <v>23</v>
      </c>
      <c r="Y394" s="106" t="s">
        <v>23</v>
      </c>
      <c r="Z394" s="106" t="s">
        <v>504</v>
      </c>
      <c r="AA394" s="5"/>
    </row>
    <row r="395" spans="2:27" s="105" customFormat="1" ht="15.75" x14ac:dyDescent="0.25">
      <c r="B395" s="174"/>
      <c r="C395" s="174" t="str">
        <f>TEXT(data[[#This Row],[Fecha de Envío
Cotización]],"MMMM")</f>
        <v>mayo</v>
      </c>
      <c r="D395" s="124">
        <v>44334</v>
      </c>
      <c r="E395" s="174">
        <v>44343</v>
      </c>
      <c r="F395" s="174">
        <v>44377</v>
      </c>
      <c r="G395" s="109">
        <v>4000023928</v>
      </c>
      <c r="H395" s="174">
        <v>44343</v>
      </c>
      <c r="I395" s="86">
        <v>180000976</v>
      </c>
      <c r="J395" s="87">
        <v>512</v>
      </c>
      <c r="K395" s="24" t="s">
        <v>138</v>
      </c>
      <c r="L395" s="106"/>
      <c r="M395" s="105" t="s">
        <v>1554</v>
      </c>
      <c r="N395" s="106">
        <v>3</v>
      </c>
      <c r="O395" s="107"/>
      <c r="P395" s="107">
        <v>142.80000000000001</v>
      </c>
      <c r="Q395" s="28">
        <f>data[[#This Row],[Costo Producto
Proveedor ($/Unid)]]*data[[#This Row],[Cantidad]]</f>
        <v>0</v>
      </c>
      <c r="R395" s="120">
        <f>data[[#This Row],[Cantidad]]*data[[#This Row],[Precio de Venta Cliente ($/Unid)]]</f>
        <v>428.40000000000003</v>
      </c>
      <c r="S395" s="29"/>
      <c r="T395" s="106" t="s">
        <v>134</v>
      </c>
      <c r="U395" s="106"/>
      <c r="V395" s="30" t="s">
        <v>44</v>
      </c>
      <c r="W395" s="32" t="s">
        <v>44</v>
      </c>
      <c r="X395" s="106" t="s">
        <v>45</v>
      </c>
      <c r="Y395" s="106" t="s">
        <v>503</v>
      </c>
      <c r="Z395" s="106" t="s">
        <v>504</v>
      </c>
      <c r="AA395" s="5"/>
    </row>
    <row r="396" spans="2:27" s="105" customFormat="1" ht="15.75" x14ac:dyDescent="0.25">
      <c r="B396" s="104"/>
      <c r="C396" s="174" t="str">
        <f>TEXT(data[[#This Row],[Fecha de Envío
Cotización]],"MMMM")</f>
        <v>mayo</v>
      </c>
      <c r="D396" s="124">
        <v>44334</v>
      </c>
      <c r="E396" s="174">
        <v>44343</v>
      </c>
      <c r="F396" s="104">
        <v>44377</v>
      </c>
      <c r="G396" s="109">
        <v>4000023928</v>
      </c>
      <c r="H396" s="104">
        <v>44343</v>
      </c>
      <c r="I396" s="86">
        <v>180000977</v>
      </c>
      <c r="J396" s="87">
        <v>512</v>
      </c>
      <c r="K396" s="24" t="s">
        <v>138</v>
      </c>
      <c r="L396" s="106"/>
      <c r="M396" s="105" t="s">
        <v>1555</v>
      </c>
      <c r="N396" s="106">
        <v>7</v>
      </c>
      <c r="O396" s="107"/>
      <c r="P396" s="107">
        <v>149.01</v>
      </c>
      <c r="Q396" s="28">
        <f>data[[#This Row],[Costo Producto
Proveedor ($/Unid)]]*data[[#This Row],[Cantidad]]</f>
        <v>0</v>
      </c>
      <c r="R396" s="120">
        <f>data[[#This Row],[Cantidad]]*data[[#This Row],[Precio de Venta Cliente ($/Unid)]]</f>
        <v>1043.07</v>
      </c>
      <c r="S396" s="29"/>
      <c r="T396" s="106" t="s">
        <v>134</v>
      </c>
      <c r="U396" s="106"/>
      <c r="V396" s="30" t="s">
        <v>44</v>
      </c>
      <c r="W396" s="32" t="s">
        <v>44</v>
      </c>
      <c r="X396" s="106" t="s">
        <v>45</v>
      </c>
      <c r="Y396" s="106" t="s">
        <v>503</v>
      </c>
      <c r="Z396" s="106" t="s">
        <v>504</v>
      </c>
      <c r="AA396" s="5" t="s">
        <v>1717</v>
      </c>
    </row>
    <row r="397" spans="2:27" s="105" customFormat="1" ht="15.75" x14ac:dyDescent="0.25">
      <c r="B397" s="104"/>
      <c r="C397" s="174" t="str">
        <f>TEXT(data[[#This Row],[Fecha de Envío
Cotización]],"MMMM")</f>
        <v>mayo</v>
      </c>
      <c r="D397" s="124">
        <v>44334</v>
      </c>
      <c r="E397" s="174">
        <v>44343</v>
      </c>
      <c r="F397" s="104">
        <v>44377</v>
      </c>
      <c r="G397" s="109">
        <v>4000023928</v>
      </c>
      <c r="H397" s="104">
        <v>44343</v>
      </c>
      <c r="I397" s="86">
        <v>180000978</v>
      </c>
      <c r="J397" s="87">
        <v>512</v>
      </c>
      <c r="K397" s="24" t="s">
        <v>138</v>
      </c>
      <c r="L397" s="106"/>
      <c r="M397" s="105" t="s">
        <v>1556</v>
      </c>
      <c r="N397" s="106">
        <v>5</v>
      </c>
      <c r="O397" s="107"/>
      <c r="P397" s="107">
        <v>189.89</v>
      </c>
      <c r="Q397" s="28">
        <f>data[[#This Row],[Costo Producto
Proveedor ($/Unid)]]*data[[#This Row],[Cantidad]]</f>
        <v>0</v>
      </c>
      <c r="R397" s="120">
        <f>data[[#This Row],[Cantidad]]*data[[#This Row],[Precio de Venta Cliente ($/Unid)]]</f>
        <v>949.44999999999993</v>
      </c>
      <c r="S397" s="29"/>
      <c r="T397" s="106" t="s">
        <v>134</v>
      </c>
      <c r="U397" s="106"/>
      <c r="V397" s="30" t="s">
        <v>44</v>
      </c>
      <c r="W397" s="32" t="s">
        <v>44</v>
      </c>
      <c r="X397" s="106" t="s">
        <v>45</v>
      </c>
      <c r="Y397" s="106" t="s">
        <v>503</v>
      </c>
      <c r="Z397" s="106" t="s">
        <v>504</v>
      </c>
      <c r="AA397" s="5" t="s">
        <v>1718</v>
      </c>
    </row>
    <row r="398" spans="2:27" s="105" customFormat="1" ht="15.75" x14ac:dyDescent="0.25">
      <c r="B398" s="104"/>
      <c r="C398" s="174" t="str">
        <f>TEXT(data[[#This Row],[Fecha de Envío
Cotización]],"MMMM")</f>
        <v>mayo</v>
      </c>
      <c r="D398" s="124">
        <v>44334</v>
      </c>
      <c r="E398" s="174" t="str">
        <f>IF(data[[#This Row],[Estatus de 
Cotización]]="PERDIDO","N/A","")</f>
        <v/>
      </c>
      <c r="F398" s="104"/>
      <c r="G398" s="109"/>
      <c r="H398" s="104"/>
      <c r="I398" s="86">
        <v>180000979</v>
      </c>
      <c r="J398" s="87">
        <v>512</v>
      </c>
      <c r="K398" s="24" t="s">
        <v>138</v>
      </c>
      <c r="L398" s="106"/>
      <c r="M398" s="105" t="s">
        <v>1557</v>
      </c>
      <c r="N398" s="106">
        <v>1</v>
      </c>
      <c r="O398" s="107"/>
      <c r="P398" s="107">
        <v>249.14</v>
      </c>
      <c r="Q398" s="28">
        <f>data[[#This Row],[Costo Producto
Proveedor ($/Unid)]]*data[[#This Row],[Cantidad]]</f>
        <v>0</v>
      </c>
      <c r="R398" s="120">
        <f>data[[#This Row],[Cantidad]]*data[[#This Row],[Precio de Venta Cliente ($/Unid)]]</f>
        <v>249.14</v>
      </c>
      <c r="S398" s="29"/>
      <c r="T398" s="106" t="s">
        <v>134</v>
      </c>
      <c r="U398" s="106"/>
      <c r="V398" s="30" t="s">
        <v>46</v>
      </c>
      <c r="W398" s="32" t="s">
        <v>46</v>
      </c>
      <c r="X398" s="106" t="s">
        <v>23</v>
      </c>
      <c r="Y398" s="106" t="s">
        <v>23</v>
      </c>
      <c r="Z398" s="106" t="s">
        <v>504</v>
      </c>
      <c r="AA398" s="5"/>
    </row>
    <row r="399" spans="2:27" s="105" customFormat="1" ht="15.75" x14ac:dyDescent="0.25">
      <c r="B399" s="174"/>
      <c r="C399" s="174" t="str">
        <f>TEXT(data[[#This Row],[Fecha de Envío
Cotización]],"MMMM")</f>
        <v>mayo</v>
      </c>
      <c r="D399" s="124">
        <v>44336</v>
      </c>
      <c r="E399" s="174" t="str">
        <f>IF(data[[#This Row],[Estatus de 
Cotización]]="PERDIDO","N/A","")</f>
        <v/>
      </c>
      <c r="F399" s="174"/>
      <c r="G399" s="109"/>
      <c r="H399" s="174"/>
      <c r="I399" s="86" t="s">
        <v>1594</v>
      </c>
      <c r="J399" s="87">
        <v>526</v>
      </c>
      <c r="K399" s="24" t="s">
        <v>1595</v>
      </c>
      <c r="L399" s="106"/>
      <c r="M399" s="105" t="s">
        <v>1596</v>
      </c>
      <c r="N399" s="106">
        <v>2</v>
      </c>
      <c r="O399" s="107"/>
      <c r="P399" s="107">
        <v>194.04</v>
      </c>
      <c r="Q399" s="28">
        <f>data[[#This Row],[Costo Producto
Proveedor ($/Unid)]]*data[[#This Row],[Cantidad]]</f>
        <v>0</v>
      </c>
      <c r="R399" s="120">
        <f>data[[#This Row],[Cantidad]]*data[[#This Row],[Precio de Venta Cliente ($/Unid)]]</f>
        <v>388.08</v>
      </c>
      <c r="S399" s="29"/>
      <c r="T399" s="106" t="s">
        <v>73</v>
      </c>
      <c r="U399" s="106"/>
      <c r="V399" s="30" t="s">
        <v>46</v>
      </c>
      <c r="W399" s="32" t="s">
        <v>46</v>
      </c>
      <c r="X399" s="106" t="s">
        <v>23</v>
      </c>
      <c r="Y399" s="106" t="s">
        <v>23</v>
      </c>
      <c r="Z399" s="106" t="s">
        <v>504</v>
      </c>
      <c r="AA399" s="5"/>
    </row>
    <row r="400" spans="2:27" s="105" customFormat="1" ht="15.75" x14ac:dyDescent="0.25">
      <c r="B400" s="174"/>
      <c r="C400" s="174" t="str">
        <f>TEXT(data[[#This Row],[Fecha de Envío
Cotización]],"MMMM")</f>
        <v>mayo</v>
      </c>
      <c r="D400" s="124">
        <v>44336</v>
      </c>
      <c r="E400" s="174" t="str">
        <f>IF(data[[#This Row],[Estatus de 
Cotización]]="PERDIDO","N/A","")</f>
        <v/>
      </c>
      <c r="F400" s="174"/>
      <c r="G400" s="109"/>
      <c r="H400" s="174"/>
      <c r="I400" s="86">
        <v>1</v>
      </c>
      <c r="J400" s="87">
        <v>523</v>
      </c>
      <c r="K400" s="24" t="s">
        <v>122</v>
      </c>
      <c r="L400" s="106"/>
      <c r="M400" s="105" t="s">
        <v>1597</v>
      </c>
      <c r="N400" s="106">
        <v>150</v>
      </c>
      <c r="O400" s="107"/>
      <c r="P400" s="107">
        <v>0.33</v>
      </c>
      <c r="Q400" s="28">
        <f>data[[#This Row],[Costo Producto
Proveedor ($/Unid)]]*data[[#This Row],[Cantidad]]</f>
        <v>0</v>
      </c>
      <c r="R400" s="120">
        <f>data[[#This Row],[Cantidad]]*data[[#This Row],[Precio de Venta Cliente ($/Unid)]]</f>
        <v>49.5</v>
      </c>
      <c r="S400" s="29"/>
      <c r="T400" s="106" t="s">
        <v>22</v>
      </c>
      <c r="U400" s="106"/>
      <c r="V400" s="30" t="s">
        <v>46</v>
      </c>
      <c r="W400" s="32" t="s">
        <v>46</v>
      </c>
      <c r="X400" s="106" t="s">
        <v>23</v>
      </c>
      <c r="Y400" s="106" t="s">
        <v>23</v>
      </c>
      <c r="Z400" s="106" t="s">
        <v>504</v>
      </c>
      <c r="AA400" s="5"/>
    </row>
    <row r="401" spans="2:27" s="105" customFormat="1" ht="15.75" x14ac:dyDescent="0.25">
      <c r="B401" s="174"/>
      <c r="C401" s="174" t="str">
        <f>TEXT(data[[#This Row],[Fecha de Envío
Cotización]],"MMMM")</f>
        <v>mayo</v>
      </c>
      <c r="D401" s="124">
        <v>44340</v>
      </c>
      <c r="E401" s="174" t="str">
        <f>IF(data[[#This Row],[Estatus de 
Cotización]]="PERDIDO","N/A","")</f>
        <v/>
      </c>
      <c r="F401" s="174"/>
      <c r="G401" s="109"/>
      <c r="H401" s="174"/>
      <c r="I401" s="86">
        <v>200156</v>
      </c>
      <c r="J401" s="87">
        <v>585</v>
      </c>
      <c r="K401" s="24" t="s">
        <v>1683</v>
      </c>
      <c r="L401" s="106"/>
      <c r="M401" s="105" t="s">
        <v>1684</v>
      </c>
      <c r="N401" s="106">
        <v>12</v>
      </c>
      <c r="O401" s="107"/>
      <c r="P401" s="107">
        <v>17.850000000000001</v>
      </c>
      <c r="Q401" s="28">
        <f>data[[#This Row],[Costo Producto
Proveedor ($/Unid)]]*data[[#This Row],[Cantidad]]</f>
        <v>0</v>
      </c>
      <c r="R401" s="120">
        <f>data[[#This Row],[Cantidad]]*data[[#This Row],[Precio de Venta Cliente ($/Unid)]]</f>
        <v>214.20000000000002</v>
      </c>
      <c r="S401" s="29"/>
      <c r="T401" s="106" t="s">
        <v>119</v>
      </c>
      <c r="U401" s="106"/>
      <c r="V401" s="30" t="s">
        <v>46</v>
      </c>
      <c r="W401" s="32" t="s">
        <v>46</v>
      </c>
      <c r="X401" s="106" t="s">
        <v>23</v>
      </c>
      <c r="Y401" s="106" t="s">
        <v>23</v>
      </c>
      <c r="Z401" s="106" t="s">
        <v>504</v>
      </c>
      <c r="AA401" s="5"/>
    </row>
    <row r="402" spans="2:27" s="105" customFormat="1" ht="15.75" x14ac:dyDescent="0.25">
      <c r="B402" s="174"/>
      <c r="C402" s="174" t="str">
        <f>TEXT(data[[#This Row],[Fecha de Envío
Cotización]],"MMMM")</f>
        <v>mayo</v>
      </c>
      <c r="D402" s="124">
        <v>44340</v>
      </c>
      <c r="E402" s="174" t="str">
        <f>IF(data[[#This Row],[Estatus de 
Cotización]]="PERDIDO","N/A","")</f>
        <v/>
      </c>
      <c r="F402" s="174"/>
      <c r="G402" s="109"/>
      <c r="H402" s="174"/>
      <c r="I402" s="86">
        <v>200148</v>
      </c>
      <c r="J402" s="87">
        <v>585</v>
      </c>
      <c r="K402" s="24" t="s">
        <v>1683</v>
      </c>
      <c r="L402" s="106"/>
      <c r="M402" s="105" t="s">
        <v>1685</v>
      </c>
      <c r="N402" s="106">
        <v>12</v>
      </c>
      <c r="O402" s="107"/>
      <c r="P402" s="107">
        <v>8.93</v>
      </c>
      <c r="Q402" s="28">
        <f>data[[#This Row],[Costo Producto
Proveedor ($/Unid)]]*data[[#This Row],[Cantidad]]</f>
        <v>0</v>
      </c>
      <c r="R402" s="120">
        <f>data[[#This Row],[Cantidad]]*data[[#This Row],[Precio de Venta Cliente ($/Unid)]]</f>
        <v>107.16</v>
      </c>
      <c r="S402" s="29"/>
      <c r="T402" s="106" t="s">
        <v>22</v>
      </c>
      <c r="U402" s="106"/>
      <c r="V402" s="30" t="s">
        <v>46</v>
      </c>
      <c r="W402" s="32" t="s">
        <v>46</v>
      </c>
      <c r="X402" s="106" t="s">
        <v>23</v>
      </c>
      <c r="Y402" s="106" t="s">
        <v>23</v>
      </c>
      <c r="Z402" s="106" t="s">
        <v>504</v>
      </c>
      <c r="AA402" s="5"/>
    </row>
    <row r="403" spans="2:27" s="105" customFormat="1" ht="15.75" x14ac:dyDescent="0.25">
      <c r="B403" s="174"/>
      <c r="C403" s="174" t="str">
        <f>TEXT(data[[#This Row],[Fecha de Envío
Cotización]],"MMMM")</f>
        <v>mayo</v>
      </c>
      <c r="D403" s="124">
        <v>44340</v>
      </c>
      <c r="E403" s="174" t="str">
        <f>IF(data[[#This Row],[Estatus de 
Cotización]]="PERDIDO","N/A","")</f>
        <v/>
      </c>
      <c r="F403" s="174"/>
      <c r="G403" s="109"/>
      <c r="H403" s="174"/>
      <c r="I403" s="86">
        <v>200149</v>
      </c>
      <c r="J403" s="87">
        <v>585</v>
      </c>
      <c r="K403" s="24" t="s">
        <v>1683</v>
      </c>
      <c r="L403" s="106"/>
      <c r="M403" s="105" t="s">
        <v>1686</v>
      </c>
      <c r="N403" s="106">
        <v>12</v>
      </c>
      <c r="O403" s="107"/>
      <c r="P403" s="107">
        <v>8.93</v>
      </c>
      <c r="Q403" s="28">
        <f>data[[#This Row],[Costo Producto
Proveedor ($/Unid)]]*data[[#This Row],[Cantidad]]</f>
        <v>0</v>
      </c>
      <c r="R403" s="120">
        <f>data[[#This Row],[Cantidad]]*data[[#This Row],[Precio de Venta Cliente ($/Unid)]]</f>
        <v>107.16</v>
      </c>
      <c r="S403" s="29"/>
      <c r="T403" s="106" t="s">
        <v>22</v>
      </c>
      <c r="U403" s="106"/>
      <c r="V403" s="30" t="s">
        <v>46</v>
      </c>
      <c r="W403" s="32" t="s">
        <v>46</v>
      </c>
      <c r="X403" s="106" t="s">
        <v>23</v>
      </c>
      <c r="Y403" s="106" t="s">
        <v>23</v>
      </c>
      <c r="Z403" s="106" t="s">
        <v>504</v>
      </c>
      <c r="AA403" s="5"/>
    </row>
    <row r="404" spans="2:27" s="105" customFormat="1" ht="15.75" x14ac:dyDescent="0.25">
      <c r="B404" s="174"/>
      <c r="C404" s="174" t="str">
        <f>TEXT(data[[#This Row],[Fecha de Envío
Cotización]],"MMMM")</f>
        <v>mayo</v>
      </c>
      <c r="D404" s="124">
        <v>44340</v>
      </c>
      <c r="E404" s="174" t="str">
        <f>IF(data[[#This Row],[Estatus de 
Cotización]]="PERDIDO","N/A","")</f>
        <v/>
      </c>
      <c r="F404" s="174"/>
      <c r="G404" s="109"/>
      <c r="H404" s="174"/>
      <c r="I404" s="86">
        <v>200145</v>
      </c>
      <c r="J404" s="87">
        <v>585</v>
      </c>
      <c r="K404" s="24" t="s">
        <v>1683</v>
      </c>
      <c r="L404" s="106"/>
      <c r="M404" s="105" t="s">
        <v>1687</v>
      </c>
      <c r="N404" s="106">
        <v>12</v>
      </c>
      <c r="O404" s="107"/>
      <c r="P404" s="107">
        <v>7.44</v>
      </c>
      <c r="Q404" s="28">
        <f>data[[#This Row],[Costo Producto
Proveedor ($/Unid)]]*data[[#This Row],[Cantidad]]</f>
        <v>0</v>
      </c>
      <c r="R404" s="120">
        <f>data[[#This Row],[Cantidad]]*data[[#This Row],[Precio de Venta Cliente ($/Unid)]]</f>
        <v>89.28</v>
      </c>
      <c r="S404" s="29"/>
      <c r="T404" s="106" t="s">
        <v>22</v>
      </c>
      <c r="U404" s="106"/>
      <c r="V404" s="30" t="s">
        <v>46</v>
      </c>
      <c r="W404" s="32" t="s">
        <v>46</v>
      </c>
      <c r="X404" s="106" t="s">
        <v>23</v>
      </c>
      <c r="Y404" s="106" t="s">
        <v>23</v>
      </c>
      <c r="Z404" s="106" t="s">
        <v>504</v>
      </c>
      <c r="AA404" s="5"/>
    </row>
    <row r="405" spans="2:27" s="105" customFormat="1" ht="15.75" x14ac:dyDescent="0.25">
      <c r="B405" s="174"/>
      <c r="C405" s="174" t="str">
        <f>TEXT(data[[#This Row],[Fecha de Envío
Cotización]],"MMMM")</f>
        <v>mayo</v>
      </c>
      <c r="D405" s="124">
        <v>44340</v>
      </c>
      <c r="E405" s="174" t="str">
        <f>IF(data[[#This Row],[Estatus de 
Cotización]]="PERDIDO","N/A","")</f>
        <v/>
      </c>
      <c r="F405" s="174"/>
      <c r="G405" s="109"/>
      <c r="H405" s="174"/>
      <c r="I405" s="86">
        <v>200146</v>
      </c>
      <c r="J405" s="87">
        <v>585</v>
      </c>
      <c r="K405" s="24" t="s">
        <v>1683</v>
      </c>
      <c r="L405" s="106"/>
      <c r="M405" s="105" t="s">
        <v>1688</v>
      </c>
      <c r="N405" s="106">
        <v>12</v>
      </c>
      <c r="O405" s="107"/>
      <c r="P405" s="107">
        <v>7.44</v>
      </c>
      <c r="Q405" s="28">
        <f>data[[#This Row],[Costo Producto
Proveedor ($/Unid)]]*data[[#This Row],[Cantidad]]</f>
        <v>0</v>
      </c>
      <c r="R405" s="120">
        <f>data[[#This Row],[Cantidad]]*data[[#This Row],[Precio de Venta Cliente ($/Unid)]]</f>
        <v>89.28</v>
      </c>
      <c r="S405" s="29"/>
      <c r="T405" s="106" t="s">
        <v>22</v>
      </c>
      <c r="U405" s="106"/>
      <c r="V405" s="30" t="s">
        <v>46</v>
      </c>
      <c r="W405" s="32" t="s">
        <v>46</v>
      </c>
      <c r="X405" s="106" t="s">
        <v>23</v>
      </c>
      <c r="Y405" s="106" t="s">
        <v>23</v>
      </c>
      <c r="Z405" s="106" t="s">
        <v>504</v>
      </c>
      <c r="AA405" s="5"/>
    </row>
    <row r="406" spans="2:27" s="105" customFormat="1" ht="15.75" x14ac:dyDescent="0.25">
      <c r="B406" s="174"/>
      <c r="C406" s="174" t="str">
        <f>TEXT(data[[#This Row],[Fecha de Envío
Cotización]],"MMMM")</f>
        <v>mayo</v>
      </c>
      <c r="D406" s="124">
        <v>44340</v>
      </c>
      <c r="E406" s="174" t="str">
        <f>IF(data[[#This Row],[Estatus de 
Cotización]]="PERDIDO","N/A","")</f>
        <v/>
      </c>
      <c r="F406" s="174"/>
      <c r="G406" s="109"/>
      <c r="H406" s="174"/>
      <c r="I406" s="86">
        <v>200954</v>
      </c>
      <c r="J406" s="87">
        <v>585</v>
      </c>
      <c r="K406" s="24" t="s">
        <v>1683</v>
      </c>
      <c r="L406" s="106"/>
      <c r="M406" s="105" t="s">
        <v>1689</v>
      </c>
      <c r="N406" s="106">
        <v>2</v>
      </c>
      <c r="O406" s="107"/>
      <c r="P406" s="107">
        <v>119.02</v>
      </c>
      <c r="Q406" s="28">
        <f>data[[#This Row],[Costo Producto
Proveedor ($/Unid)]]*data[[#This Row],[Cantidad]]</f>
        <v>0</v>
      </c>
      <c r="R406" s="120">
        <f>data[[#This Row],[Cantidad]]*data[[#This Row],[Precio de Venta Cliente ($/Unid)]]</f>
        <v>238.04</v>
      </c>
      <c r="S406" s="29"/>
      <c r="T406" s="106" t="s">
        <v>22</v>
      </c>
      <c r="U406" s="106"/>
      <c r="V406" s="30" t="s">
        <v>46</v>
      </c>
      <c r="W406" s="32" t="s">
        <v>46</v>
      </c>
      <c r="X406" s="106" t="s">
        <v>23</v>
      </c>
      <c r="Y406" s="106" t="s">
        <v>23</v>
      </c>
      <c r="Z406" s="106" t="s">
        <v>504</v>
      </c>
      <c r="AA406" s="5"/>
    </row>
    <row r="407" spans="2:27" s="38" customFormat="1" x14ac:dyDescent="0.25">
      <c r="B407" s="174"/>
      <c r="C407" s="174" t="str">
        <f>TEXT(data[[#This Row],[Fecha de Envío
Cotización]],"MMMM")</f>
        <v>mayo</v>
      </c>
      <c r="D407" s="124">
        <v>44343</v>
      </c>
      <c r="E407" s="174" t="str">
        <f>IF(data[[#This Row],[Estatus de 
Cotización]]="PERDIDO","N/A","")</f>
        <v/>
      </c>
      <c r="F407" s="174"/>
      <c r="G407" s="109"/>
      <c r="H407" s="174"/>
      <c r="I407" s="86">
        <v>418226</v>
      </c>
      <c r="J407" s="106">
        <v>656</v>
      </c>
      <c r="K407" s="110" t="s">
        <v>32</v>
      </c>
      <c r="L407" s="106"/>
      <c r="M407" s="108" t="s">
        <v>1737</v>
      </c>
      <c r="N407" s="106">
        <v>4</v>
      </c>
      <c r="O407" s="107"/>
      <c r="P407" s="107">
        <v>399.71</v>
      </c>
      <c r="Q407" s="28">
        <f>data[[#This Row],[Costo Producto
Proveedor ($/Unid)]]*data[[#This Row],[Cantidad]]</f>
        <v>0</v>
      </c>
      <c r="R407" s="28">
        <f>data[[#This Row],[Cantidad]]*data[[#This Row],[Precio de Venta Cliente ($/Unid)]]</f>
        <v>1598.84</v>
      </c>
      <c r="S407" s="29"/>
      <c r="T407" s="109" t="s">
        <v>16</v>
      </c>
      <c r="U407" s="109"/>
      <c r="V407" s="30" t="s">
        <v>46</v>
      </c>
      <c r="W407" s="32" t="s">
        <v>46</v>
      </c>
      <c r="X407" s="106" t="s">
        <v>23</v>
      </c>
      <c r="Y407" s="106" t="s">
        <v>23</v>
      </c>
      <c r="Z407" s="106" t="s">
        <v>504</v>
      </c>
      <c r="AA407" s="109"/>
    </row>
    <row r="408" spans="2:27" s="38" customFormat="1" x14ac:dyDescent="0.25">
      <c r="B408" s="174"/>
      <c r="C408" s="174" t="str">
        <f>TEXT(data[[#This Row],[Fecha de Envío
Cotización]],"MMMM")</f>
        <v>mayo</v>
      </c>
      <c r="D408" s="124">
        <v>44343</v>
      </c>
      <c r="E408" s="174" t="str">
        <f>IF(data[[#This Row],[Estatus de 
Cotización]]="PERDIDO","N/A","")</f>
        <v/>
      </c>
      <c r="F408" s="174"/>
      <c r="G408" s="109"/>
      <c r="H408" s="174"/>
      <c r="I408" s="86">
        <v>418346</v>
      </c>
      <c r="J408" s="106">
        <v>656</v>
      </c>
      <c r="K408" s="110" t="s">
        <v>32</v>
      </c>
      <c r="L408" s="106"/>
      <c r="M408" s="108" t="s">
        <v>1738</v>
      </c>
      <c r="N408" s="106">
        <v>2</v>
      </c>
      <c r="O408" s="107"/>
      <c r="P408" s="107">
        <v>1827.88</v>
      </c>
      <c r="Q408" s="28">
        <f>data[[#This Row],[Costo Producto
Proveedor ($/Unid)]]*data[[#This Row],[Cantidad]]</f>
        <v>0</v>
      </c>
      <c r="R408" s="28">
        <f>data[[#This Row],[Cantidad]]*data[[#This Row],[Precio de Venta Cliente ($/Unid)]]</f>
        <v>3655.76</v>
      </c>
      <c r="S408" s="29"/>
      <c r="T408" s="109" t="s">
        <v>16</v>
      </c>
      <c r="U408" s="109"/>
      <c r="V408" s="30" t="s">
        <v>46</v>
      </c>
      <c r="W408" s="32" t="s">
        <v>46</v>
      </c>
      <c r="X408" s="106" t="s">
        <v>23</v>
      </c>
      <c r="Y408" s="106" t="s">
        <v>23</v>
      </c>
      <c r="Z408" s="106" t="s">
        <v>504</v>
      </c>
      <c r="AA408" s="109"/>
    </row>
    <row r="409" spans="2:27" s="38" customFormat="1" x14ac:dyDescent="0.25">
      <c r="B409" s="174"/>
      <c r="C409" s="174" t="str">
        <f>TEXT(data[[#This Row],[Fecha de Envío
Cotización]],"MMMM")</f>
        <v>mayo</v>
      </c>
      <c r="D409" s="124">
        <v>44343</v>
      </c>
      <c r="E409" s="174" t="str">
        <f>IF(data[[#This Row],[Estatus de 
Cotización]]="PERDIDO","N/A","")</f>
        <v/>
      </c>
      <c r="F409" s="174"/>
      <c r="G409" s="109"/>
      <c r="H409" s="174"/>
      <c r="I409" s="86">
        <v>418125</v>
      </c>
      <c r="J409" s="106">
        <v>656</v>
      </c>
      <c r="K409" s="110" t="s">
        <v>32</v>
      </c>
      <c r="L409" s="106"/>
      <c r="M409" s="108" t="s">
        <v>1739</v>
      </c>
      <c r="N409" s="106">
        <v>2</v>
      </c>
      <c r="O409" s="107"/>
      <c r="P409" s="107">
        <v>404.34</v>
      </c>
      <c r="Q409" s="28">
        <f>data[[#This Row],[Costo Producto
Proveedor ($/Unid)]]*data[[#This Row],[Cantidad]]</f>
        <v>0</v>
      </c>
      <c r="R409" s="28">
        <f>data[[#This Row],[Cantidad]]*data[[#This Row],[Precio de Venta Cliente ($/Unid)]]</f>
        <v>808.68</v>
      </c>
      <c r="S409" s="29"/>
      <c r="T409" s="109" t="s">
        <v>16</v>
      </c>
      <c r="U409" s="109"/>
      <c r="V409" s="30" t="s">
        <v>46</v>
      </c>
      <c r="W409" s="32" t="s">
        <v>46</v>
      </c>
      <c r="X409" s="106" t="s">
        <v>23</v>
      </c>
      <c r="Y409" s="106" t="s">
        <v>23</v>
      </c>
      <c r="Z409" s="106" t="s">
        <v>504</v>
      </c>
      <c r="AA409" s="109"/>
    </row>
    <row r="410" spans="2:27" s="105" customFormat="1" x14ac:dyDescent="0.25">
      <c r="B410" s="174"/>
      <c r="C410" s="174" t="str">
        <f>TEXT(data[[#This Row],[Fecha de Envío
Cotización]],"MMMM")</f>
        <v>mayo</v>
      </c>
      <c r="D410" s="124">
        <v>44343</v>
      </c>
      <c r="E410" s="174" t="str">
        <f>IF(data[[#This Row],[Estatus de 
Cotización]]="PERDIDO","N/A","")</f>
        <v/>
      </c>
      <c r="F410" s="174"/>
      <c r="G410" s="109"/>
      <c r="H410" s="174"/>
      <c r="I410" s="86">
        <v>90019395</v>
      </c>
      <c r="J410" s="106">
        <v>660</v>
      </c>
      <c r="K410" s="110" t="s">
        <v>109</v>
      </c>
      <c r="L410" s="106"/>
      <c r="M410" s="108" t="s">
        <v>1752</v>
      </c>
      <c r="N410" s="106">
        <v>2</v>
      </c>
      <c r="O410" s="107"/>
      <c r="P410" s="107">
        <v>50.82</v>
      </c>
      <c r="Q410" s="28">
        <f>data[[#This Row],[Costo Producto
Proveedor ($/Unid)]]*data[[#This Row],[Cantidad]]</f>
        <v>0</v>
      </c>
      <c r="R410" s="28">
        <f>data[[#This Row],[Cantidad]]*data[[#This Row],[Precio de Venta Cliente ($/Unid)]]</f>
        <v>101.64</v>
      </c>
      <c r="S410" s="29"/>
      <c r="T410" s="109" t="s">
        <v>119</v>
      </c>
      <c r="U410" s="109"/>
      <c r="V410" s="30" t="s">
        <v>46</v>
      </c>
      <c r="W410" s="32" t="s">
        <v>46</v>
      </c>
      <c r="X410" s="106" t="s">
        <v>23</v>
      </c>
      <c r="Y410" s="106" t="s">
        <v>23</v>
      </c>
      <c r="Z410" s="106" t="s">
        <v>504</v>
      </c>
      <c r="AA410" s="109"/>
    </row>
    <row r="411" spans="2:27" s="105" customFormat="1" x14ac:dyDescent="0.25">
      <c r="B411" s="174"/>
      <c r="C411" s="174" t="str">
        <f>TEXT(data[[#This Row],[Fecha de Envío
Cotización]],"MMMM")</f>
        <v>mayo</v>
      </c>
      <c r="D411" s="124">
        <v>44343</v>
      </c>
      <c r="E411" s="174" t="str">
        <f>IF(data[[#This Row],[Estatus de 
Cotización]]="PERDIDO","N/A","")</f>
        <v/>
      </c>
      <c r="F411" s="174"/>
      <c r="G411" s="109"/>
      <c r="H411" s="174"/>
      <c r="I411" s="86">
        <v>90007193</v>
      </c>
      <c r="J411" s="106">
        <v>660</v>
      </c>
      <c r="K411" s="110" t="s">
        <v>109</v>
      </c>
      <c r="L411" s="106"/>
      <c r="M411" s="108" t="s">
        <v>1753</v>
      </c>
      <c r="N411" s="106">
        <v>2</v>
      </c>
      <c r="O411" s="107"/>
      <c r="P411" s="107">
        <v>43.56</v>
      </c>
      <c r="Q411" s="28">
        <f>data[[#This Row],[Costo Producto
Proveedor ($/Unid)]]*data[[#This Row],[Cantidad]]</f>
        <v>0</v>
      </c>
      <c r="R411" s="28">
        <f>data[[#This Row],[Cantidad]]*data[[#This Row],[Precio de Venta Cliente ($/Unid)]]</f>
        <v>87.12</v>
      </c>
      <c r="S411" s="29"/>
      <c r="T411" s="109" t="s">
        <v>119</v>
      </c>
      <c r="U411" s="109"/>
      <c r="V411" s="30" t="s">
        <v>46</v>
      </c>
      <c r="W411" s="32" t="s">
        <v>46</v>
      </c>
      <c r="X411" s="106" t="s">
        <v>23</v>
      </c>
      <c r="Y411" s="106" t="s">
        <v>23</v>
      </c>
      <c r="Z411" s="106" t="s">
        <v>504</v>
      </c>
      <c r="AA411" s="109"/>
    </row>
    <row r="412" spans="2:27" s="105" customFormat="1" x14ac:dyDescent="0.25">
      <c r="B412" s="174"/>
      <c r="C412" s="174" t="str">
        <f>TEXT(data[[#This Row],[Fecha de Envío
Cotización]],"MMMM")</f>
        <v>mayo</v>
      </c>
      <c r="D412" s="124">
        <v>44343</v>
      </c>
      <c r="E412" s="174" t="str">
        <f>IF(data[[#This Row],[Estatus de 
Cotización]]="PERDIDO","N/A","")</f>
        <v/>
      </c>
      <c r="F412" s="174"/>
      <c r="G412" s="109"/>
      <c r="H412" s="174"/>
      <c r="I412" s="86">
        <v>90007257</v>
      </c>
      <c r="J412" s="106">
        <v>660</v>
      </c>
      <c r="K412" s="110" t="s">
        <v>109</v>
      </c>
      <c r="L412" s="106"/>
      <c r="M412" s="108" t="s">
        <v>1754</v>
      </c>
      <c r="N412" s="106">
        <v>4</v>
      </c>
      <c r="O412" s="107"/>
      <c r="P412" s="107">
        <v>36.299999999999997</v>
      </c>
      <c r="Q412" s="28">
        <f>data[[#This Row],[Costo Producto
Proveedor ($/Unid)]]*data[[#This Row],[Cantidad]]</f>
        <v>0</v>
      </c>
      <c r="R412" s="28">
        <f>data[[#This Row],[Cantidad]]*data[[#This Row],[Precio de Venta Cliente ($/Unid)]]</f>
        <v>145.19999999999999</v>
      </c>
      <c r="S412" s="29"/>
      <c r="T412" s="109" t="s">
        <v>119</v>
      </c>
      <c r="U412" s="109"/>
      <c r="V412" s="30" t="s">
        <v>46</v>
      </c>
      <c r="W412" s="32" t="s">
        <v>46</v>
      </c>
      <c r="X412" s="106" t="s">
        <v>23</v>
      </c>
      <c r="Y412" s="106" t="s">
        <v>23</v>
      </c>
      <c r="Z412" s="106" t="s">
        <v>504</v>
      </c>
      <c r="AA412" s="109"/>
    </row>
    <row r="413" spans="2:27" s="105" customFormat="1" x14ac:dyDescent="0.25">
      <c r="B413" s="174"/>
      <c r="C413" s="174" t="str">
        <f>TEXT(data[[#This Row],[Fecha de Envío
Cotización]],"MMMM")</f>
        <v>mayo</v>
      </c>
      <c r="D413" s="124">
        <v>44343</v>
      </c>
      <c r="E413" s="174" t="str">
        <f>IF(data[[#This Row],[Estatus de 
Cotización]]="PERDIDO","N/A","")</f>
        <v/>
      </c>
      <c r="F413" s="174"/>
      <c r="G413" s="109"/>
      <c r="H413" s="174"/>
      <c r="I413" s="86">
        <v>90014223</v>
      </c>
      <c r="J413" s="106">
        <v>660</v>
      </c>
      <c r="K413" s="110" t="s">
        <v>109</v>
      </c>
      <c r="L413" s="106"/>
      <c r="M413" s="108" t="s">
        <v>1755</v>
      </c>
      <c r="N413" s="106">
        <v>4</v>
      </c>
      <c r="O413" s="107"/>
      <c r="P413" s="107">
        <v>14.52</v>
      </c>
      <c r="Q413" s="28">
        <f>data[[#This Row],[Costo Producto
Proveedor ($/Unid)]]*data[[#This Row],[Cantidad]]</f>
        <v>0</v>
      </c>
      <c r="R413" s="28">
        <f>data[[#This Row],[Cantidad]]*data[[#This Row],[Precio de Venta Cliente ($/Unid)]]</f>
        <v>58.08</v>
      </c>
      <c r="S413" s="29"/>
      <c r="T413" s="109" t="s">
        <v>119</v>
      </c>
      <c r="U413" s="109"/>
      <c r="V413" s="30" t="s">
        <v>46</v>
      </c>
      <c r="W413" s="32" t="s">
        <v>46</v>
      </c>
      <c r="X413" s="106" t="s">
        <v>23</v>
      </c>
      <c r="Y413" s="106" t="s">
        <v>23</v>
      </c>
      <c r="Z413" s="106" t="s">
        <v>504</v>
      </c>
      <c r="AA413" s="109"/>
    </row>
    <row r="414" spans="2:27" s="105" customFormat="1" x14ac:dyDescent="0.25">
      <c r="B414" s="174"/>
      <c r="C414" s="174" t="str">
        <f>TEXT(data[[#This Row],[Fecha de Envío
Cotización]],"MMMM")</f>
        <v>mayo</v>
      </c>
      <c r="D414" s="124">
        <v>44343</v>
      </c>
      <c r="E414" s="174" t="str">
        <f>IF(data[[#This Row],[Estatus de 
Cotización]]="PERDIDO","N/A","")</f>
        <v/>
      </c>
      <c r="F414" s="174"/>
      <c r="G414" s="109"/>
      <c r="H414" s="174"/>
      <c r="I414" s="86">
        <v>90013565</v>
      </c>
      <c r="J414" s="106">
        <v>660</v>
      </c>
      <c r="K414" s="110" t="s">
        <v>109</v>
      </c>
      <c r="L414" s="106"/>
      <c r="M414" s="108" t="s">
        <v>1756</v>
      </c>
      <c r="N414" s="106">
        <v>1</v>
      </c>
      <c r="O414" s="107"/>
      <c r="P414" s="107">
        <v>275.23</v>
      </c>
      <c r="Q414" s="28">
        <f>data[[#This Row],[Costo Producto
Proveedor ($/Unid)]]*data[[#This Row],[Cantidad]]</f>
        <v>0</v>
      </c>
      <c r="R414" s="28">
        <f>data[[#This Row],[Cantidad]]*data[[#This Row],[Precio de Venta Cliente ($/Unid)]]</f>
        <v>275.23</v>
      </c>
      <c r="S414" s="29"/>
      <c r="T414" s="109" t="s">
        <v>119</v>
      </c>
      <c r="U414" s="109"/>
      <c r="V414" s="30" t="s">
        <v>46</v>
      </c>
      <c r="W414" s="32" t="s">
        <v>46</v>
      </c>
      <c r="X414" s="106" t="s">
        <v>23</v>
      </c>
      <c r="Y414" s="106" t="s">
        <v>23</v>
      </c>
      <c r="Z414" s="106" t="s">
        <v>504</v>
      </c>
      <c r="AA414" s="109"/>
    </row>
    <row r="415" spans="2:27" s="105" customFormat="1" x14ac:dyDescent="0.25">
      <c r="B415" s="174"/>
      <c r="C415" s="174" t="str">
        <f>TEXT(data[[#This Row],[Fecha de Envío
Cotización]],"MMMM")</f>
        <v>mayo</v>
      </c>
      <c r="D415" s="124">
        <v>44343</v>
      </c>
      <c r="E415" s="174" t="str">
        <f>IF(data[[#This Row],[Estatus de 
Cotización]]="PERDIDO","N/A","")</f>
        <v/>
      </c>
      <c r="F415" s="174"/>
      <c r="G415" s="109"/>
      <c r="H415" s="174"/>
      <c r="I415" s="86">
        <v>90014292</v>
      </c>
      <c r="J415" s="106">
        <v>660</v>
      </c>
      <c r="K415" s="110" t="s">
        <v>109</v>
      </c>
      <c r="L415" s="106"/>
      <c r="M415" s="108" t="s">
        <v>1757</v>
      </c>
      <c r="N415" s="106">
        <v>30</v>
      </c>
      <c r="O415" s="107"/>
      <c r="P415" s="107">
        <v>29.75</v>
      </c>
      <c r="Q415" s="28">
        <f>data[[#This Row],[Costo Producto
Proveedor ($/Unid)]]*data[[#This Row],[Cantidad]]</f>
        <v>0</v>
      </c>
      <c r="R415" s="28">
        <f>data[[#This Row],[Cantidad]]*data[[#This Row],[Precio de Venta Cliente ($/Unid)]]</f>
        <v>892.5</v>
      </c>
      <c r="S415" s="29"/>
      <c r="T415" s="109" t="s">
        <v>119</v>
      </c>
      <c r="U415" s="109"/>
      <c r="V415" s="30" t="s">
        <v>46</v>
      </c>
      <c r="W415" s="32" t="s">
        <v>46</v>
      </c>
      <c r="X415" s="106" t="s">
        <v>23</v>
      </c>
      <c r="Y415" s="106" t="s">
        <v>23</v>
      </c>
      <c r="Z415" s="106" t="s">
        <v>504</v>
      </c>
      <c r="AA415" s="109"/>
    </row>
    <row r="416" spans="2:27" s="105" customFormat="1" x14ac:dyDescent="0.25">
      <c r="B416" s="174"/>
      <c r="C416" s="174" t="str">
        <f>TEXT(data[[#This Row],[Fecha de Envío
Cotización]],"MMMM")</f>
        <v>mayo</v>
      </c>
      <c r="D416" s="124">
        <v>44343</v>
      </c>
      <c r="E416" s="174" t="str">
        <f>IF(data[[#This Row],[Estatus de 
Cotización]]="PERDIDO","N/A","")</f>
        <v/>
      </c>
      <c r="F416" s="174"/>
      <c r="G416" s="109"/>
      <c r="H416" s="174"/>
      <c r="I416" s="86">
        <v>90020615</v>
      </c>
      <c r="J416" s="106">
        <v>660</v>
      </c>
      <c r="K416" s="110" t="s">
        <v>109</v>
      </c>
      <c r="L416" s="106"/>
      <c r="M416" s="108" t="s">
        <v>1758</v>
      </c>
      <c r="N416" s="106">
        <v>15</v>
      </c>
      <c r="O416" s="107"/>
      <c r="P416" s="107">
        <v>11.62</v>
      </c>
      <c r="Q416" s="28">
        <f>data[[#This Row],[Costo Producto
Proveedor ($/Unid)]]*data[[#This Row],[Cantidad]]</f>
        <v>0</v>
      </c>
      <c r="R416" s="28">
        <f>data[[#This Row],[Cantidad]]*data[[#This Row],[Precio de Venta Cliente ($/Unid)]]</f>
        <v>174.29999999999998</v>
      </c>
      <c r="S416" s="29"/>
      <c r="T416" s="109" t="s">
        <v>119</v>
      </c>
      <c r="U416" s="109"/>
      <c r="V416" s="30" t="s">
        <v>46</v>
      </c>
      <c r="W416" s="32" t="s">
        <v>46</v>
      </c>
      <c r="X416" s="106" t="s">
        <v>23</v>
      </c>
      <c r="Y416" s="106" t="s">
        <v>23</v>
      </c>
      <c r="Z416" s="106" t="s">
        <v>504</v>
      </c>
      <c r="AA416" s="109"/>
    </row>
    <row r="417" spans="2:27" s="105" customFormat="1" x14ac:dyDescent="0.25">
      <c r="B417" s="174"/>
      <c r="C417" s="174" t="str">
        <f>TEXT(data[[#This Row],[Fecha de Envío
Cotización]],"MMMM")</f>
        <v>mayo</v>
      </c>
      <c r="D417" s="124">
        <v>44343</v>
      </c>
      <c r="E417" s="174" t="str">
        <f>IF(data[[#This Row],[Estatus de 
Cotización]]="PERDIDO","N/A","")</f>
        <v/>
      </c>
      <c r="F417" s="174"/>
      <c r="G417" s="109"/>
      <c r="H417" s="174"/>
      <c r="I417" s="86">
        <v>90011129</v>
      </c>
      <c r="J417" s="106">
        <v>660</v>
      </c>
      <c r="K417" s="110" t="s">
        <v>109</v>
      </c>
      <c r="L417" s="106"/>
      <c r="M417" s="108" t="s">
        <v>1759</v>
      </c>
      <c r="N417" s="106">
        <v>20</v>
      </c>
      <c r="O417" s="107"/>
      <c r="P417" s="107">
        <v>11.9</v>
      </c>
      <c r="Q417" s="28">
        <f>data[[#This Row],[Costo Producto
Proveedor ($/Unid)]]*data[[#This Row],[Cantidad]]</f>
        <v>0</v>
      </c>
      <c r="R417" s="28">
        <f>data[[#This Row],[Cantidad]]*data[[#This Row],[Precio de Venta Cliente ($/Unid)]]</f>
        <v>238</v>
      </c>
      <c r="S417" s="29"/>
      <c r="T417" s="109" t="s">
        <v>119</v>
      </c>
      <c r="U417" s="109"/>
      <c r="V417" s="30" t="s">
        <v>46</v>
      </c>
      <c r="W417" s="32" t="s">
        <v>46</v>
      </c>
      <c r="X417" s="106" t="s">
        <v>23</v>
      </c>
      <c r="Y417" s="106" t="s">
        <v>23</v>
      </c>
      <c r="Z417" s="106" t="s">
        <v>504</v>
      </c>
      <c r="AA417" s="109"/>
    </row>
    <row r="418" spans="2:27" s="105" customFormat="1" x14ac:dyDescent="0.25">
      <c r="B418" s="174"/>
      <c r="C418" s="174" t="str">
        <f>TEXT(data[[#This Row],[Fecha de Envío
Cotización]],"MMMM")</f>
        <v>mayo</v>
      </c>
      <c r="D418" s="124">
        <v>44343</v>
      </c>
      <c r="E418" s="174" t="str">
        <f>IF(data[[#This Row],[Estatus de 
Cotización]]="PERDIDO","N/A","")</f>
        <v/>
      </c>
      <c r="F418" s="174"/>
      <c r="G418" s="109"/>
      <c r="H418" s="174"/>
      <c r="I418" s="86">
        <v>90026357</v>
      </c>
      <c r="J418" s="106">
        <v>660</v>
      </c>
      <c r="K418" s="110" t="s">
        <v>109</v>
      </c>
      <c r="L418" s="106"/>
      <c r="M418" s="108" t="s">
        <v>1760</v>
      </c>
      <c r="N418" s="106">
        <v>6</v>
      </c>
      <c r="O418" s="107"/>
      <c r="P418" s="107">
        <v>174.24</v>
      </c>
      <c r="Q418" s="28">
        <f>data[[#This Row],[Costo Producto
Proveedor ($/Unid)]]*data[[#This Row],[Cantidad]]</f>
        <v>0</v>
      </c>
      <c r="R418" s="28">
        <f>data[[#This Row],[Cantidad]]*data[[#This Row],[Precio de Venta Cliente ($/Unid)]]</f>
        <v>1045.44</v>
      </c>
      <c r="S418" s="29"/>
      <c r="T418" s="109" t="s">
        <v>119</v>
      </c>
      <c r="U418" s="109"/>
      <c r="V418" s="30" t="s">
        <v>46</v>
      </c>
      <c r="W418" s="32" t="s">
        <v>46</v>
      </c>
      <c r="X418" s="106" t="s">
        <v>23</v>
      </c>
      <c r="Y418" s="106" t="s">
        <v>23</v>
      </c>
      <c r="Z418" s="106" t="s">
        <v>504</v>
      </c>
      <c r="AA418" s="109"/>
    </row>
    <row r="419" spans="2:27" s="105" customFormat="1" x14ac:dyDescent="0.25">
      <c r="B419" s="174"/>
      <c r="C419" s="174" t="str">
        <f>TEXT(data[[#This Row],[Fecha de Envío
Cotización]],"MMMM")</f>
        <v>mayo</v>
      </c>
      <c r="D419" s="124">
        <v>44343</v>
      </c>
      <c r="E419" s="174" t="str">
        <f>IF(data[[#This Row],[Estatus de 
Cotización]]="PERDIDO","N/A","")</f>
        <v/>
      </c>
      <c r="F419" s="174"/>
      <c r="G419" s="109"/>
      <c r="H419" s="174"/>
      <c r="I419" s="86">
        <v>90007409</v>
      </c>
      <c r="J419" s="106">
        <v>660</v>
      </c>
      <c r="K419" s="110" t="s">
        <v>109</v>
      </c>
      <c r="L419" s="106"/>
      <c r="M419" s="108" t="s">
        <v>1761</v>
      </c>
      <c r="N419" s="106">
        <v>10</v>
      </c>
      <c r="O419" s="107"/>
      <c r="P419" s="107">
        <v>7.26</v>
      </c>
      <c r="Q419" s="28">
        <f>data[[#This Row],[Costo Producto
Proveedor ($/Unid)]]*data[[#This Row],[Cantidad]]</f>
        <v>0</v>
      </c>
      <c r="R419" s="28">
        <f>data[[#This Row],[Cantidad]]*data[[#This Row],[Precio de Venta Cliente ($/Unid)]]</f>
        <v>72.599999999999994</v>
      </c>
      <c r="S419" s="29"/>
      <c r="T419" s="109" t="s">
        <v>119</v>
      </c>
      <c r="U419" s="109"/>
      <c r="V419" s="30" t="s">
        <v>46</v>
      </c>
      <c r="W419" s="32" t="s">
        <v>46</v>
      </c>
      <c r="X419" s="106" t="s">
        <v>23</v>
      </c>
      <c r="Y419" s="106" t="s">
        <v>23</v>
      </c>
      <c r="Z419" s="106" t="s">
        <v>504</v>
      </c>
      <c r="AA419" s="109"/>
    </row>
    <row r="420" spans="2:27" s="105" customFormat="1" x14ac:dyDescent="0.25">
      <c r="B420" s="174"/>
      <c r="C420" s="174" t="str">
        <f>TEXT(data[[#This Row],[Fecha de Envío
Cotización]],"MMMM")</f>
        <v>mayo</v>
      </c>
      <c r="D420" s="124">
        <v>44343</v>
      </c>
      <c r="E420" s="174" t="str">
        <f>IF(data[[#This Row],[Estatus de 
Cotización]]="PERDIDO","N/A","")</f>
        <v/>
      </c>
      <c r="F420" s="174"/>
      <c r="G420" s="109"/>
      <c r="H420" s="174"/>
      <c r="I420" s="86">
        <v>90007523</v>
      </c>
      <c r="J420" s="106">
        <v>660</v>
      </c>
      <c r="K420" s="110" t="s">
        <v>109</v>
      </c>
      <c r="L420" s="106"/>
      <c r="M420" s="108" t="s">
        <v>1762</v>
      </c>
      <c r="N420" s="106">
        <v>2</v>
      </c>
      <c r="O420" s="107"/>
      <c r="P420" s="107">
        <v>89.86</v>
      </c>
      <c r="Q420" s="28">
        <f>data[[#This Row],[Costo Producto
Proveedor ($/Unid)]]*data[[#This Row],[Cantidad]]</f>
        <v>0</v>
      </c>
      <c r="R420" s="28">
        <f>data[[#This Row],[Cantidad]]*data[[#This Row],[Precio de Venta Cliente ($/Unid)]]</f>
        <v>179.72</v>
      </c>
      <c r="S420" s="29"/>
      <c r="T420" s="109" t="s">
        <v>119</v>
      </c>
      <c r="U420" s="109"/>
      <c r="V420" s="30" t="s">
        <v>46</v>
      </c>
      <c r="W420" s="32" t="s">
        <v>46</v>
      </c>
      <c r="X420" s="106" t="s">
        <v>23</v>
      </c>
      <c r="Y420" s="106" t="s">
        <v>23</v>
      </c>
      <c r="Z420" s="106" t="s">
        <v>504</v>
      </c>
      <c r="AA420" s="109"/>
    </row>
    <row r="421" spans="2:27" s="105" customFormat="1" x14ac:dyDescent="0.25">
      <c r="B421" s="174"/>
      <c r="C421" s="174" t="str">
        <f>TEXT(data[[#This Row],[Fecha de Envío
Cotización]],"MMMM")</f>
        <v>mayo</v>
      </c>
      <c r="D421" s="124">
        <v>44344</v>
      </c>
      <c r="E421" s="174" t="str">
        <f>IF(data[[#This Row],[Estatus de 
Cotización]]="PERDIDO","N/A","")</f>
        <v/>
      </c>
      <c r="F421" s="174"/>
      <c r="G421" s="109"/>
      <c r="H421" s="174"/>
      <c r="I421" s="86" t="s">
        <v>1795</v>
      </c>
      <c r="J421" s="106">
        <v>670</v>
      </c>
      <c r="K421" s="110" t="s">
        <v>109</v>
      </c>
      <c r="L421" s="106"/>
      <c r="M421" s="105" t="s">
        <v>1796</v>
      </c>
      <c r="N421" s="106">
        <v>1</v>
      </c>
      <c r="O421" s="107"/>
      <c r="P421" s="107">
        <v>2967.26</v>
      </c>
      <c r="Q421" s="28">
        <f>data[[#This Row],[Costo Producto
Proveedor ($/Unid)]]*data[[#This Row],[Cantidad]]</f>
        <v>0</v>
      </c>
      <c r="R421" s="28">
        <f>data[[#This Row],[Cantidad]]*data[[#This Row],[Precio de Venta Cliente ($/Unid)]]</f>
        <v>2967.26</v>
      </c>
      <c r="S421" s="29"/>
      <c r="T421" s="109" t="s">
        <v>22</v>
      </c>
      <c r="U421" s="109"/>
      <c r="V421" s="30" t="s">
        <v>46</v>
      </c>
      <c r="W421" s="32" t="s">
        <v>46</v>
      </c>
      <c r="X421" s="106" t="s">
        <v>23</v>
      </c>
      <c r="Y421" s="106" t="s">
        <v>23</v>
      </c>
      <c r="Z421" s="106" t="s">
        <v>504</v>
      </c>
      <c r="AA421" s="109"/>
    </row>
    <row r="422" spans="2:27" s="105" customFormat="1" x14ac:dyDescent="0.25">
      <c r="B422" s="174"/>
      <c r="C422" s="174" t="str">
        <f>TEXT(data[[#This Row],[Fecha de Envío
Cotización]],"MMMM")</f>
        <v>mayo</v>
      </c>
      <c r="D422" s="124">
        <v>44347</v>
      </c>
      <c r="E422" s="174" t="str">
        <f>IF(data[[#This Row],[Estatus de 
Cotización]]="PERDIDO","N/A","")</f>
        <v/>
      </c>
      <c r="F422" s="174"/>
      <c r="G422" s="109"/>
      <c r="H422" s="174"/>
      <c r="I422" s="86" t="s">
        <v>1821</v>
      </c>
      <c r="J422" s="106">
        <v>676</v>
      </c>
      <c r="K422" s="110" t="s">
        <v>1824</v>
      </c>
      <c r="L422" s="106"/>
      <c r="M422" s="105" t="s">
        <v>1825</v>
      </c>
      <c r="N422" s="106">
        <v>1</v>
      </c>
      <c r="O422" s="107"/>
      <c r="P422" s="107">
        <v>1867.07</v>
      </c>
      <c r="Q422" s="28">
        <f>data[[#This Row],[Costo Producto
Proveedor ($/Unid)]]*data[[#This Row],[Cantidad]]</f>
        <v>0</v>
      </c>
      <c r="R422" s="28">
        <f>data[[#This Row],[Cantidad]]*data[[#This Row],[Precio de Venta Cliente ($/Unid)]]</f>
        <v>1867.07</v>
      </c>
      <c r="S422" s="29"/>
      <c r="T422" s="109" t="s">
        <v>119</v>
      </c>
      <c r="U422" s="109"/>
      <c r="V422" s="30" t="s">
        <v>46</v>
      </c>
      <c r="W422" s="32" t="s">
        <v>46</v>
      </c>
      <c r="X422" s="106" t="s">
        <v>23</v>
      </c>
      <c r="Y422" s="106" t="s">
        <v>23</v>
      </c>
      <c r="Z422" s="106" t="s">
        <v>504</v>
      </c>
      <c r="AA422" s="109"/>
    </row>
    <row r="423" spans="2:27" s="105" customFormat="1" x14ac:dyDescent="0.25">
      <c r="B423" s="174"/>
      <c r="C423" s="174" t="str">
        <f>TEXT(data[[#This Row],[Fecha de Envío
Cotización]],"MMMM")</f>
        <v>mayo</v>
      </c>
      <c r="D423" s="124">
        <v>44347</v>
      </c>
      <c r="E423" s="174" t="str">
        <f>IF(data[[#This Row],[Estatus de 
Cotización]]="PERDIDO","N/A","")</f>
        <v/>
      </c>
      <c r="F423" s="174"/>
      <c r="G423" s="109"/>
      <c r="H423" s="174"/>
      <c r="I423" s="86" t="s">
        <v>1822</v>
      </c>
      <c r="J423" s="106">
        <v>676</v>
      </c>
      <c r="K423" s="110" t="s">
        <v>1824</v>
      </c>
      <c r="L423" s="106"/>
      <c r="M423" s="105" t="s">
        <v>1826</v>
      </c>
      <c r="N423" s="106">
        <v>4</v>
      </c>
      <c r="O423" s="107"/>
      <c r="P423" s="107">
        <v>1535.72</v>
      </c>
      <c r="Q423" s="28">
        <f>data[[#This Row],[Costo Producto
Proveedor ($/Unid)]]*data[[#This Row],[Cantidad]]</f>
        <v>0</v>
      </c>
      <c r="R423" s="28">
        <f>data[[#This Row],[Cantidad]]*data[[#This Row],[Precio de Venta Cliente ($/Unid)]]</f>
        <v>6142.88</v>
      </c>
      <c r="S423" s="29"/>
      <c r="T423" s="109" t="s">
        <v>22</v>
      </c>
      <c r="U423" s="109"/>
      <c r="V423" s="30" t="s">
        <v>46</v>
      </c>
      <c r="W423" s="32" t="s">
        <v>46</v>
      </c>
      <c r="X423" s="106" t="s">
        <v>23</v>
      </c>
      <c r="Y423" s="106" t="s">
        <v>23</v>
      </c>
      <c r="Z423" s="106" t="s">
        <v>504</v>
      </c>
      <c r="AA423" s="109"/>
    </row>
    <row r="424" spans="2:27" s="105" customFormat="1" x14ac:dyDescent="0.25">
      <c r="B424" s="174"/>
      <c r="C424" s="174" t="str">
        <f>TEXT(data[[#This Row],[Fecha de Envío
Cotización]],"MMMM")</f>
        <v>mayo</v>
      </c>
      <c r="D424" s="124">
        <v>44347</v>
      </c>
      <c r="E424" s="174" t="str">
        <f>IF(data[[#This Row],[Estatus de 
Cotización]]="PERDIDO","N/A","")</f>
        <v/>
      </c>
      <c r="F424" s="174"/>
      <c r="G424" s="109"/>
      <c r="H424" s="174"/>
      <c r="I424" s="86" t="s">
        <v>1823</v>
      </c>
      <c r="J424" s="106">
        <v>676</v>
      </c>
      <c r="K424" s="110" t="s">
        <v>1824</v>
      </c>
      <c r="L424" s="106"/>
      <c r="M424" s="105" t="s">
        <v>1827</v>
      </c>
      <c r="N424" s="106">
        <v>2</v>
      </c>
      <c r="O424" s="107"/>
      <c r="P424" s="107">
        <v>1148.92</v>
      </c>
      <c r="Q424" s="28">
        <f>data[[#This Row],[Costo Producto
Proveedor ($/Unid)]]*data[[#This Row],[Cantidad]]</f>
        <v>0</v>
      </c>
      <c r="R424" s="28">
        <f>data[[#This Row],[Cantidad]]*data[[#This Row],[Precio de Venta Cliente ($/Unid)]]</f>
        <v>2297.84</v>
      </c>
      <c r="S424" s="29"/>
      <c r="T424" s="109" t="s">
        <v>22</v>
      </c>
      <c r="U424" s="109"/>
      <c r="V424" s="30" t="s">
        <v>46</v>
      </c>
      <c r="W424" s="32" t="s">
        <v>46</v>
      </c>
      <c r="X424" s="106" t="s">
        <v>23</v>
      </c>
      <c r="Y424" s="106" t="s">
        <v>23</v>
      </c>
      <c r="Z424" s="106" t="s">
        <v>504</v>
      </c>
      <c r="AA424" s="109"/>
    </row>
    <row r="425" spans="2:27" s="105" customFormat="1" x14ac:dyDescent="0.25">
      <c r="B425" s="174"/>
      <c r="C425" s="174" t="str">
        <f>TEXT(data[[#This Row],[Fecha de Envío
Cotización]],"MMMM")</f>
        <v>junio</v>
      </c>
      <c r="D425" s="124">
        <v>44354</v>
      </c>
      <c r="E425" s="174" t="str">
        <f>IF(data[[#This Row],[Estatus de 
Cotización]]="PERDIDO","N/A","")</f>
        <v/>
      </c>
      <c r="F425" s="174"/>
      <c r="G425" s="109"/>
      <c r="H425" s="174"/>
      <c r="I425" s="86" t="s">
        <v>1968</v>
      </c>
      <c r="J425" s="106">
        <v>723</v>
      </c>
      <c r="K425" s="110" t="s">
        <v>29</v>
      </c>
      <c r="L425" s="106"/>
      <c r="M425" s="3" t="s">
        <v>1969</v>
      </c>
      <c r="N425" s="106">
        <v>1</v>
      </c>
      <c r="O425" s="107"/>
      <c r="P425" s="107">
        <v>891.45</v>
      </c>
      <c r="Q425" s="28">
        <f>data[[#This Row],[Costo Producto
Proveedor ($/Unid)]]*data[[#This Row],[Cantidad]]</f>
        <v>0</v>
      </c>
      <c r="R425" s="28">
        <f>data[[#This Row],[Cantidad]]*data[[#This Row],[Precio de Venta Cliente ($/Unid)]]</f>
        <v>891.45</v>
      </c>
      <c r="S425" s="29"/>
      <c r="T425" s="109" t="s">
        <v>22</v>
      </c>
      <c r="U425" s="109"/>
      <c r="V425" s="30" t="s">
        <v>46</v>
      </c>
      <c r="W425" s="32" t="s">
        <v>46</v>
      </c>
      <c r="X425" s="106" t="s">
        <v>23</v>
      </c>
      <c r="Y425" s="106" t="s">
        <v>23</v>
      </c>
      <c r="Z425" s="106" t="s">
        <v>504</v>
      </c>
      <c r="AA425" s="109"/>
    </row>
    <row r="426" spans="2:27" s="105" customFormat="1" x14ac:dyDescent="0.25">
      <c r="B426" s="174"/>
      <c r="C426" s="174" t="str">
        <f>TEXT(data[[#This Row],[Fecha de Envío
Cotización]],"MMMM")</f>
        <v>junio</v>
      </c>
      <c r="D426" s="124">
        <v>44354</v>
      </c>
      <c r="E426" s="174" t="str">
        <f>IF(data[[#This Row],[Estatus de 
Cotización]]="PERDIDO","N/A","")</f>
        <v/>
      </c>
      <c r="F426" s="174"/>
      <c r="G426" s="109"/>
      <c r="H426" s="174"/>
      <c r="I426" s="86" t="s">
        <v>1983</v>
      </c>
      <c r="J426" s="106">
        <v>731</v>
      </c>
      <c r="K426" s="110" t="s">
        <v>109</v>
      </c>
      <c r="L426" s="106"/>
      <c r="M426" s="105" t="s">
        <v>1984</v>
      </c>
      <c r="N426" s="106">
        <v>1</v>
      </c>
      <c r="O426" s="107"/>
      <c r="P426" s="107">
        <v>16179.47</v>
      </c>
      <c r="Q426" s="28">
        <f>data[[#This Row],[Costo Producto
Proveedor ($/Unid)]]*data[[#This Row],[Cantidad]]</f>
        <v>0</v>
      </c>
      <c r="R426" s="28">
        <f>data[[#This Row],[Cantidad]]*data[[#This Row],[Precio de Venta Cliente ($/Unid)]]</f>
        <v>16179.47</v>
      </c>
      <c r="S426" s="29"/>
      <c r="T426" s="31" t="s">
        <v>36</v>
      </c>
      <c r="U426" s="109"/>
      <c r="V426" s="30" t="s">
        <v>46</v>
      </c>
      <c r="W426" s="32" t="s">
        <v>46</v>
      </c>
      <c r="X426" s="106" t="s">
        <v>23</v>
      </c>
      <c r="Y426" s="106" t="s">
        <v>23</v>
      </c>
      <c r="Z426" s="106" t="s">
        <v>504</v>
      </c>
      <c r="AA426" s="109"/>
    </row>
    <row r="427" spans="2:27" s="105" customFormat="1" x14ac:dyDescent="0.25">
      <c r="B427" s="174"/>
      <c r="C427" s="174" t="str">
        <f>TEXT(data[[#This Row],[Fecha de Envío
Cotización]],"MMMM")</f>
        <v>junio</v>
      </c>
      <c r="D427" s="124">
        <v>44356</v>
      </c>
      <c r="E427" s="174"/>
      <c r="F427" s="174"/>
      <c r="G427" s="109"/>
      <c r="H427" s="174"/>
      <c r="I427" s="86" t="s">
        <v>2013</v>
      </c>
      <c r="J427" s="106">
        <v>751</v>
      </c>
      <c r="K427" s="110" t="s">
        <v>122</v>
      </c>
      <c r="L427" s="106"/>
      <c r="M427" s="105" t="s">
        <v>2014</v>
      </c>
      <c r="N427" s="106">
        <v>30000</v>
      </c>
      <c r="O427" s="107"/>
      <c r="P427" s="107">
        <v>0.56999999999999995</v>
      </c>
      <c r="Q427" s="28">
        <f>data[[#This Row],[Costo Producto
Proveedor ($/Unid)]]*data[[#This Row],[Cantidad]]</f>
        <v>0</v>
      </c>
      <c r="R427" s="28">
        <f>data[[#This Row],[Cantidad]]*data[[#This Row],[Precio de Venta Cliente ($/Unid)]]</f>
        <v>17100</v>
      </c>
      <c r="S427" s="29"/>
      <c r="T427" s="31" t="s">
        <v>119</v>
      </c>
      <c r="U427" s="109"/>
      <c r="V427" s="30" t="s">
        <v>46</v>
      </c>
      <c r="W427" s="32" t="s">
        <v>46</v>
      </c>
      <c r="X427" s="106" t="s">
        <v>23</v>
      </c>
      <c r="Y427" s="106" t="s">
        <v>23</v>
      </c>
      <c r="Z427" s="106" t="s">
        <v>504</v>
      </c>
      <c r="AA427" s="109"/>
    </row>
    <row r="428" spans="2:27" s="105" customFormat="1" x14ac:dyDescent="0.25">
      <c r="B428" s="174"/>
      <c r="C428" s="174" t="str">
        <f>TEXT(data[[#This Row],[Fecha de Envío
Cotización]],"MMMM")</f>
        <v>junio</v>
      </c>
      <c r="D428" s="124">
        <v>44357</v>
      </c>
      <c r="E428" s="174"/>
      <c r="F428" s="174"/>
      <c r="G428" s="109"/>
      <c r="H428" s="174"/>
      <c r="I428" s="86" t="s">
        <v>2026</v>
      </c>
      <c r="J428" s="106">
        <v>757</v>
      </c>
      <c r="K428" s="110" t="s">
        <v>109</v>
      </c>
      <c r="L428" s="106"/>
      <c r="M428" t="s">
        <v>2027</v>
      </c>
      <c r="N428" s="106">
        <v>1</v>
      </c>
      <c r="O428" s="107"/>
      <c r="P428" s="107">
        <v>624.08000000000004</v>
      </c>
      <c r="Q428" s="28">
        <f>data[[#This Row],[Costo Producto
Proveedor ($/Unid)]]*data[[#This Row],[Cantidad]]</f>
        <v>0</v>
      </c>
      <c r="R428" s="28">
        <f>data[[#This Row],[Cantidad]]*data[[#This Row],[Precio de Venta Cliente ($/Unid)]]</f>
        <v>624.08000000000004</v>
      </c>
      <c r="S428" s="29"/>
      <c r="T428" s="31" t="s">
        <v>36</v>
      </c>
      <c r="U428" s="109"/>
      <c r="V428" s="30" t="s">
        <v>46</v>
      </c>
      <c r="W428" s="32" t="s">
        <v>46</v>
      </c>
      <c r="X428" s="106" t="s">
        <v>23</v>
      </c>
      <c r="Y428" s="106" t="s">
        <v>23</v>
      </c>
      <c r="Z428" s="106" t="s">
        <v>504</v>
      </c>
      <c r="AA428" s="109"/>
    </row>
    <row r="429" spans="2:27" s="105" customFormat="1" x14ac:dyDescent="0.25">
      <c r="B429" s="174"/>
      <c r="C429" s="174" t="str">
        <f>TEXT(data[[#This Row],[Fecha de Envío
Cotización]],"MMMM")</f>
        <v>junio</v>
      </c>
      <c r="D429" s="124">
        <v>44358</v>
      </c>
      <c r="E429" s="174"/>
      <c r="F429" s="174"/>
      <c r="G429" s="109"/>
      <c r="H429" s="174"/>
      <c r="I429" s="86" t="s">
        <v>2043</v>
      </c>
      <c r="J429" s="106">
        <v>760</v>
      </c>
      <c r="K429" s="110" t="s">
        <v>109</v>
      </c>
      <c r="L429" s="106"/>
      <c r="M429" s="105" t="s">
        <v>2044</v>
      </c>
      <c r="N429" s="106">
        <v>4</v>
      </c>
      <c r="O429" s="107"/>
      <c r="P429" s="107">
        <v>208.85</v>
      </c>
      <c r="Q429" s="28">
        <f>data[[#This Row],[Costo Producto
Proveedor ($/Unid)]]*data[[#This Row],[Cantidad]]</f>
        <v>0</v>
      </c>
      <c r="R429" s="28">
        <f>data[[#This Row],[Cantidad]]*data[[#This Row],[Precio de Venta Cliente ($/Unid)]]</f>
        <v>835.4</v>
      </c>
      <c r="S429" s="29"/>
      <c r="T429" s="31" t="s">
        <v>73</v>
      </c>
      <c r="U429" s="109"/>
      <c r="V429" s="30" t="s">
        <v>46</v>
      </c>
      <c r="W429" s="32" t="s">
        <v>46</v>
      </c>
      <c r="X429" s="106" t="s">
        <v>23</v>
      </c>
      <c r="Y429" s="106" t="s">
        <v>23</v>
      </c>
      <c r="Z429" s="106" t="s">
        <v>504</v>
      </c>
      <c r="AA429" s="109"/>
    </row>
    <row r="430" spans="2:27" s="105" customFormat="1" x14ac:dyDescent="0.25">
      <c r="B430" s="174"/>
      <c r="C430" s="174" t="str">
        <f>TEXT(data[[#This Row],[Fecha de Envío
Cotización]],"MMMM")</f>
        <v>junio</v>
      </c>
      <c r="D430" s="124">
        <v>44358</v>
      </c>
      <c r="E430" s="174"/>
      <c r="F430" s="174"/>
      <c r="G430" s="109"/>
      <c r="H430" s="174"/>
      <c r="I430" s="86" t="s">
        <v>2045</v>
      </c>
      <c r="J430" s="106">
        <v>761</v>
      </c>
      <c r="K430" s="110" t="s">
        <v>122</v>
      </c>
      <c r="L430" s="106"/>
      <c r="M430" s="105" t="s">
        <v>2046</v>
      </c>
      <c r="N430" s="106">
        <v>1</v>
      </c>
      <c r="O430" s="107"/>
      <c r="P430" s="107">
        <v>225.23</v>
      </c>
      <c r="Q430" s="28">
        <f>data[[#This Row],[Costo Producto
Proveedor ($/Unid)]]*data[[#This Row],[Cantidad]]</f>
        <v>0</v>
      </c>
      <c r="R430" s="28">
        <f>data[[#This Row],[Cantidad]]*data[[#This Row],[Precio de Venta Cliente ($/Unid)]]</f>
        <v>225.23</v>
      </c>
      <c r="S430" s="29"/>
      <c r="T430" s="31" t="s">
        <v>119</v>
      </c>
      <c r="U430" s="109"/>
      <c r="V430" s="30" t="s">
        <v>46</v>
      </c>
      <c r="W430" s="32" t="s">
        <v>46</v>
      </c>
      <c r="X430" s="106" t="s">
        <v>23</v>
      </c>
      <c r="Y430" s="106" t="s">
        <v>23</v>
      </c>
      <c r="Z430" s="106" t="s">
        <v>504</v>
      </c>
      <c r="AA430" s="109"/>
    </row>
    <row r="431" spans="2:27" s="105" customFormat="1" x14ac:dyDescent="0.25">
      <c r="B431" s="174"/>
      <c r="C431" s="174" t="str">
        <f>TEXT(data[[#This Row],[Fecha de Envío
Cotización]],"MMMM")</f>
        <v>junio</v>
      </c>
      <c r="D431" s="124">
        <v>44358</v>
      </c>
      <c r="E431" s="174"/>
      <c r="F431" s="174"/>
      <c r="G431" s="109"/>
      <c r="H431" s="174"/>
      <c r="I431" s="86" t="s">
        <v>2050</v>
      </c>
      <c r="J431" s="106">
        <v>763</v>
      </c>
      <c r="K431" s="110" t="s">
        <v>2049</v>
      </c>
      <c r="L431" s="106"/>
      <c r="M431" s="105" t="s">
        <v>2051</v>
      </c>
      <c r="N431" s="106">
        <v>1</v>
      </c>
      <c r="O431" s="107"/>
      <c r="P431" s="107">
        <v>463.51</v>
      </c>
      <c r="Q431" s="28">
        <f>data[[#This Row],[Costo Producto
Proveedor ($/Unid)]]*data[[#This Row],[Cantidad]]</f>
        <v>0</v>
      </c>
      <c r="R431" s="28">
        <f>data[[#This Row],[Cantidad]]*data[[#This Row],[Precio de Venta Cliente ($/Unid)]]</f>
        <v>463.51</v>
      </c>
      <c r="S431" s="29"/>
      <c r="T431" s="31" t="s">
        <v>73</v>
      </c>
      <c r="U431" s="109"/>
      <c r="V431" s="30" t="s">
        <v>46</v>
      </c>
      <c r="W431" s="32" t="s">
        <v>46</v>
      </c>
      <c r="X431" s="106" t="s">
        <v>23</v>
      </c>
      <c r="Y431" s="106" t="s">
        <v>23</v>
      </c>
      <c r="Z431" s="106" t="s">
        <v>504</v>
      </c>
      <c r="AA431" s="109"/>
    </row>
    <row r="432" spans="2:27" s="105" customFormat="1" x14ac:dyDescent="0.25">
      <c r="B432" s="174"/>
      <c r="C432" s="174" t="str">
        <f>TEXT(data[[#This Row],[Fecha de Envío
Cotización]],"MMMM")</f>
        <v>junio</v>
      </c>
      <c r="D432" s="124">
        <v>44361</v>
      </c>
      <c r="E432" s="174"/>
      <c r="F432" s="174"/>
      <c r="G432" s="109"/>
      <c r="H432" s="174"/>
      <c r="I432" s="86">
        <v>2919</v>
      </c>
      <c r="J432" s="106">
        <v>771</v>
      </c>
      <c r="K432" s="110" t="s">
        <v>109</v>
      </c>
      <c r="L432" s="106"/>
      <c r="M432" s="105" t="s">
        <v>2079</v>
      </c>
      <c r="N432" s="106">
        <v>3</v>
      </c>
      <c r="O432" s="107"/>
      <c r="P432" s="107">
        <v>112.01</v>
      </c>
      <c r="Q432" s="28">
        <f>data[[#This Row],[Costo Producto
Proveedor ($/Unid)]]*data[[#This Row],[Cantidad]]</f>
        <v>0</v>
      </c>
      <c r="R432" s="28">
        <f>data[[#This Row],[Cantidad]]*data[[#This Row],[Precio de Venta Cliente ($/Unid)]]</f>
        <v>336.03000000000003</v>
      </c>
      <c r="S432" s="29"/>
      <c r="T432" s="31" t="s">
        <v>73</v>
      </c>
      <c r="U432" s="109"/>
      <c r="V432" s="30" t="s">
        <v>46</v>
      </c>
      <c r="W432" s="32" t="s">
        <v>46</v>
      </c>
      <c r="X432" s="106" t="s">
        <v>23</v>
      </c>
      <c r="Y432" s="106" t="s">
        <v>23</v>
      </c>
      <c r="Z432" s="106" t="s">
        <v>504</v>
      </c>
      <c r="AA432" s="109"/>
    </row>
    <row r="433" spans="2:27" s="105" customFormat="1" x14ac:dyDescent="0.25">
      <c r="B433" s="174"/>
      <c r="C433" s="174" t="str">
        <f>TEXT(data[[#This Row],[Fecha de Envío
Cotización]],"MMMM")</f>
        <v>junio</v>
      </c>
      <c r="D433" s="124">
        <v>44361</v>
      </c>
      <c r="E433" s="174"/>
      <c r="F433" s="174"/>
      <c r="G433" s="109"/>
      <c r="H433" s="174"/>
      <c r="I433" s="86">
        <v>2920</v>
      </c>
      <c r="J433" s="106">
        <v>771</v>
      </c>
      <c r="K433" s="110" t="s">
        <v>109</v>
      </c>
      <c r="L433" s="106"/>
      <c r="M433" s="105" t="s">
        <v>2080</v>
      </c>
      <c r="N433" s="106">
        <v>3</v>
      </c>
      <c r="O433" s="107"/>
      <c r="P433" s="107">
        <v>120.35</v>
      </c>
      <c r="Q433" s="28">
        <f>data[[#This Row],[Costo Producto
Proveedor ($/Unid)]]*data[[#This Row],[Cantidad]]</f>
        <v>0</v>
      </c>
      <c r="R433" s="28">
        <f>data[[#This Row],[Cantidad]]*data[[#This Row],[Precio de Venta Cliente ($/Unid)]]</f>
        <v>361.04999999999995</v>
      </c>
      <c r="S433" s="29"/>
      <c r="T433" s="31" t="s">
        <v>73</v>
      </c>
      <c r="U433" s="109"/>
      <c r="V433" s="30" t="s">
        <v>46</v>
      </c>
      <c r="W433" s="32" t="s">
        <v>46</v>
      </c>
      <c r="X433" s="106" t="s">
        <v>23</v>
      </c>
      <c r="Y433" s="106" t="s">
        <v>23</v>
      </c>
      <c r="Z433" s="106" t="s">
        <v>504</v>
      </c>
      <c r="AA433" s="109"/>
    </row>
    <row r="434" spans="2:27" s="105" customFormat="1" x14ac:dyDescent="0.25">
      <c r="B434" s="174"/>
      <c r="C434" s="174" t="str">
        <f>TEXT(data[[#This Row],[Fecha de Envío
Cotización]],"MMMM")</f>
        <v>junio</v>
      </c>
      <c r="D434" s="124">
        <v>44361</v>
      </c>
      <c r="E434" s="174"/>
      <c r="F434" s="174"/>
      <c r="G434" s="109"/>
      <c r="H434" s="174"/>
      <c r="I434" s="86">
        <v>4886</v>
      </c>
      <c r="J434" s="106">
        <v>771</v>
      </c>
      <c r="K434" s="110" t="s">
        <v>109</v>
      </c>
      <c r="L434" s="106"/>
      <c r="M434" s="105" t="s">
        <v>2081</v>
      </c>
      <c r="N434" s="106">
        <v>4</v>
      </c>
      <c r="O434" s="107"/>
      <c r="P434" s="107">
        <v>138.04</v>
      </c>
      <c r="Q434" s="28">
        <f>data[[#This Row],[Costo Producto
Proveedor ($/Unid)]]*data[[#This Row],[Cantidad]]</f>
        <v>0</v>
      </c>
      <c r="R434" s="28">
        <f>data[[#This Row],[Cantidad]]*data[[#This Row],[Precio de Venta Cliente ($/Unid)]]</f>
        <v>552.16</v>
      </c>
      <c r="S434" s="29"/>
      <c r="T434" s="31" t="s">
        <v>73</v>
      </c>
      <c r="U434" s="109"/>
      <c r="V434" s="30" t="s">
        <v>46</v>
      </c>
      <c r="W434" s="32" t="s">
        <v>46</v>
      </c>
      <c r="X434" s="106" t="s">
        <v>23</v>
      </c>
      <c r="Y434" s="106" t="s">
        <v>23</v>
      </c>
      <c r="Z434" s="106" t="s">
        <v>504</v>
      </c>
      <c r="AA434" s="109"/>
    </row>
    <row r="435" spans="2:27" s="105" customFormat="1" x14ac:dyDescent="0.25">
      <c r="B435" s="174"/>
      <c r="C435" s="174" t="str">
        <f>TEXT(data[[#This Row],[Fecha de Envío
Cotización]],"MMMM")</f>
        <v>junio</v>
      </c>
      <c r="D435" s="124">
        <v>44361</v>
      </c>
      <c r="E435" s="174"/>
      <c r="F435" s="174"/>
      <c r="G435" s="109"/>
      <c r="H435" s="174"/>
      <c r="I435" s="86" t="s">
        <v>2076</v>
      </c>
      <c r="J435" s="106">
        <v>771</v>
      </c>
      <c r="K435" s="110" t="s">
        <v>109</v>
      </c>
      <c r="L435" s="106"/>
      <c r="M435" s="105" t="s">
        <v>2082</v>
      </c>
      <c r="N435" s="106">
        <v>10</v>
      </c>
      <c r="O435" s="107"/>
      <c r="P435" s="107">
        <v>25.32</v>
      </c>
      <c r="Q435" s="28">
        <f>data[[#This Row],[Costo Producto
Proveedor ($/Unid)]]*data[[#This Row],[Cantidad]]</f>
        <v>0</v>
      </c>
      <c r="R435" s="28">
        <f>data[[#This Row],[Cantidad]]*data[[#This Row],[Precio de Venta Cliente ($/Unid)]]</f>
        <v>253.2</v>
      </c>
      <c r="S435" s="29"/>
      <c r="T435" s="31" t="s">
        <v>73</v>
      </c>
      <c r="U435" s="109"/>
      <c r="V435" s="30" t="s">
        <v>46</v>
      </c>
      <c r="W435" s="32" t="s">
        <v>46</v>
      </c>
      <c r="X435" s="106" t="s">
        <v>23</v>
      </c>
      <c r="Y435" s="106" t="s">
        <v>23</v>
      </c>
      <c r="Z435" s="106" t="s">
        <v>504</v>
      </c>
      <c r="AA435" s="109"/>
    </row>
    <row r="436" spans="2:27" s="105" customFormat="1" x14ac:dyDescent="0.25">
      <c r="B436" s="174"/>
      <c r="C436" s="174" t="str">
        <f>TEXT(data[[#This Row],[Fecha de Envío
Cotización]],"MMMM")</f>
        <v>junio</v>
      </c>
      <c r="D436" s="124">
        <v>44361</v>
      </c>
      <c r="E436" s="174"/>
      <c r="F436" s="174"/>
      <c r="G436" s="109"/>
      <c r="H436" s="174"/>
      <c r="I436" s="86">
        <v>51820</v>
      </c>
      <c r="J436" s="106">
        <v>771</v>
      </c>
      <c r="K436" s="110" t="s">
        <v>109</v>
      </c>
      <c r="L436" s="106"/>
      <c r="M436" s="105" t="s">
        <v>2083</v>
      </c>
      <c r="N436" s="106">
        <v>7</v>
      </c>
      <c r="O436" s="107"/>
      <c r="P436" s="107">
        <v>49.64</v>
      </c>
      <c r="Q436" s="28">
        <f>data[[#This Row],[Costo Producto
Proveedor ($/Unid)]]*data[[#This Row],[Cantidad]]</f>
        <v>0</v>
      </c>
      <c r="R436" s="28">
        <f>data[[#This Row],[Cantidad]]*data[[#This Row],[Precio de Venta Cliente ($/Unid)]]</f>
        <v>347.48</v>
      </c>
      <c r="S436" s="29"/>
      <c r="T436" s="31" t="s">
        <v>73</v>
      </c>
      <c r="U436" s="109"/>
      <c r="V436" s="30" t="s">
        <v>46</v>
      </c>
      <c r="W436" s="32" t="s">
        <v>46</v>
      </c>
      <c r="X436" s="106" t="s">
        <v>23</v>
      </c>
      <c r="Y436" s="106" t="s">
        <v>23</v>
      </c>
      <c r="Z436" s="106" t="s">
        <v>504</v>
      </c>
      <c r="AA436" s="109"/>
    </row>
    <row r="437" spans="2:27" s="105" customFormat="1" x14ac:dyDescent="0.25">
      <c r="B437" s="174"/>
      <c r="C437" s="174" t="str">
        <f>TEXT(data[[#This Row],[Fecha de Envío
Cotización]],"MMMM")</f>
        <v>junio</v>
      </c>
      <c r="D437" s="124">
        <v>44361</v>
      </c>
      <c r="E437" s="174"/>
      <c r="F437" s="174"/>
      <c r="G437" s="109"/>
      <c r="H437" s="174"/>
      <c r="I437" s="86" t="s">
        <v>2077</v>
      </c>
      <c r="J437" s="106">
        <v>771</v>
      </c>
      <c r="K437" s="110" t="s">
        <v>109</v>
      </c>
      <c r="L437" s="106"/>
      <c r="M437" s="105" t="s">
        <v>2084</v>
      </c>
      <c r="N437" s="106">
        <v>10</v>
      </c>
      <c r="O437" s="107"/>
      <c r="P437" s="107">
        <v>56.33</v>
      </c>
      <c r="Q437" s="28">
        <f>data[[#This Row],[Costo Producto
Proveedor ($/Unid)]]*data[[#This Row],[Cantidad]]</f>
        <v>0</v>
      </c>
      <c r="R437" s="28">
        <f>data[[#This Row],[Cantidad]]*data[[#This Row],[Precio de Venta Cliente ($/Unid)]]</f>
        <v>563.29999999999995</v>
      </c>
      <c r="S437" s="29"/>
      <c r="T437" s="31" t="s">
        <v>73</v>
      </c>
      <c r="U437" s="109"/>
      <c r="V437" s="30" t="s">
        <v>46</v>
      </c>
      <c r="W437" s="32" t="s">
        <v>46</v>
      </c>
      <c r="X437" s="106" t="s">
        <v>23</v>
      </c>
      <c r="Y437" s="106" t="s">
        <v>23</v>
      </c>
      <c r="Z437" s="106" t="s">
        <v>504</v>
      </c>
      <c r="AA437" s="109"/>
    </row>
    <row r="438" spans="2:27" s="105" customFormat="1" x14ac:dyDescent="0.25">
      <c r="B438" s="174"/>
      <c r="C438" s="174" t="str">
        <f>TEXT(data[[#This Row],[Fecha de Envío
Cotización]],"MMMM")</f>
        <v>junio</v>
      </c>
      <c r="D438" s="124">
        <v>44361</v>
      </c>
      <c r="E438" s="174"/>
      <c r="F438" s="174"/>
      <c r="G438" s="109"/>
      <c r="H438" s="174"/>
      <c r="I438" s="86" t="s">
        <v>2078</v>
      </c>
      <c r="J438" s="106">
        <v>771</v>
      </c>
      <c r="K438" s="110" t="s">
        <v>109</v>
      </c>
      <c r="L438" s="106"/>
      <c r="M438" s="105" t="s">
        <v>2085</v>
      </c>
      <c r="N438" s="106">
        <v>6</v>
      </c>
      <c r="O438" s="107"/>
      <c r="P438" s="107">
        <v>38.53</v>
      </c>
      <c r="Q438" s="28">
        <f>data[[#This Row],[Costo Producto
Proveedor ($/Unid)]]*data[[#This Row],[Cantidad]]</f>
        <v>0</v>
      </c>
      <c r="R438" s="28">
        <f>data[[#This Row],[Cantidad]]*data[[#This Row],[Precio de Venta Cliente ($/Unid)]]</f>
        <v>231.18</v>
      </c>
      <c r="S438" s="29"/>
      <c r="T438" s="31" t="s">
        <v>73</v>
      </c>
      <c r="U438" s="109"/>
      <c r="V438" s="30" t="s">
        <v>46</v>
      </c>
      <c r="W438" s="32" t="s">
        <v>46</v>
      </c>
      <c r="X438" s="106" t="s">
        <v>23</v>
      </c>
      <c r="Y438" s="106" t="s">
        <v>23</v>
      </c>
      <c r="Z438" s="106" t="s">
        <v>504</v>
      </c>
      <c r="AA438" s="109"/>
    </row>
    <row r="439" spans="2:27" s="105" customFormat="1" x14ac:dyDescent="0.25">
      <c r="B439" s="174"/>
      <c r="C439" s="174" t="str">
        <f>TEXT(data[[#This Row],[Fecha de Envío
Cotización]],"MMMM")</f>
        <v>junio</v>
      </c>
      <c r="D439" s="124">
        <v>44362</v>
      </c>
      <c r="E439" s="174">
        <v>44369</v>
      </c>
      <c r="F439" s="174"/>
      <c r="G439" s="109">
        <v>4500306937</v>
      </c>
      <c r="H439" s="174">
        <v>44369</v>
      </c>
      <c r="I439" s="86" t="s">
        <v>2183</v>
      </c>
      <c r="J439" s="106">
        <v>794</v>
      </c>
      <c r="K439" s="110" t="s">
        <v>32</v>
      </c>
      <c r="L439" s="106"/>
      <c r="M439" s="105" t="s">
        <v>2184</v>
      </c>
      <c r="N439" s="106">
        <v>4</v>
      </c>
      <c r="O439" s="107"/>
      <c r="P439" s="107">
        <v>802.45</v>
      </c>
      <c r="Q439" s="28">
        <f>data[[#This Row],[Costo Producto
Proveedor ($/Unid)]]*data[[#This Row],[Cantidad]]</f>
        <v>0</v>
      </c>
      <c r="R439" s="28">
        <f>data[[#This Row],[Cantidad]]*data[[#This Row],[Precio de Venta Cliente ($/Unid)]]</f>
        <v>3209.8</v>
      </c>
      <c r="S439" s="29"/>
      <c r="T439" s="31" t="s">
        <v>16</v>
      </c>
      <c r="U439" s="109"/>
      <c r="V439" s="30" t="s">
        <v>44</v>
      </c>
      <c r="W439" s="32" t="s">
        <v>44</v>
      </c>
      <c r="X439" s="106" t="s">
        <v>503</v>
      </c>
      <c r="Y439" s="106" t="s">
        <v>503</v>
      </c>
      <c r="Z439" s="106" t="s">
        <v>504</v>
      </c>
      <c r="AA439" s="109"/>
    </row>
    <row r="440" spans="2:27" s="105" customFormat="1" x14ac:dyDescent="0.25">
      <c r="B440" s="174"/>
      <c r="C440" s="174" t="str">
        <f>TEXT(data[[#This Row],[Fecha de Envío
Cotización]],"MMMM")</f>
        <v>junio</v>
      </c>
      <c r="D440" s="124">
        <v>44363</v>
      </c>
      <c r="E440" s="174"/>
      <c r="F440" s="174"/>
      <c r="G440" s="109"/>
      <c r="H440" s="174"/>
      <c r="I440" s="86">
        <v>9010109</v>
      </c>
      <c r="J440" s="106">
        <v>805</v>
      </c>
      <c r="K440" s="110" t="s">
        <v>534</v>
      </c>
      <c r="L440" s="106"/>
      <c r="M440" s="105" t="s">
        <v>2239</v>
      </c>
      <c r="N440" s="106">
        <v>2</v>
      </c>
      <c r="O440" s="107"/>
      <c r="P440" s="107">
        <v>88.09</v>
      </c>
      <c r="Q440" s="28">
        <f>data[[#This Row],[Costo Producto
Proveedor ($/Unid)]]*data[[#This Row],[Cantidad]]</f>
        <v>0</v>
      </c>
      <c r="R440" s="28">
        <f>data[[#This Row],[Cantidad]]*data[[#This Row],[Precio de Venta Cliente ($/Unid)]]</f>
        <v>176.18</v>
      </c>
      <c r="S440" s="29"/>
      <c r="T440" s="31" t="s">
        <v>73</v>
      </c>
      <c r="U440" s="109"/>
      <c r="V440" s="30" t="s">
        <v>46</v>
      </c>
      <c r="W440" s="32" t="s">
        <v>46</v>
      </c>
      <c r="X440" s="106" t="s">
        <v>23</v>
      </c>
      <c r="Y440" s="106" t="s">
        <v>23</v>
      </c>
      <c r="Z440" s="106" t="s">
        <v>504</v>
      </c>
      <c r="AA440" s="109"/>
    </row>
    <row r="441" spans="2:27" s="105" customFormat="1" x14ac:dyDescent="0.25">
      <c r="B441" s="174"/>
      <c r="C441" s="174" t="str">
        <f>TEXT(data[[#This Row],[Fecha de Envío
Cotización]],"MMMM")</f>
        <v>junio</v>
      </c>
      <c r="D441" s="124">
        <v>44363</v>
      </c>
      <c r="E441" s="174"/>
      <c r="F441" s="174"/>
      <c r="G441" s="109"/>
      <c r="H441" s="174"/>
      <c r="I441" s="86">
        <v>9400221</v>
      </c>
      <c r="J441" s="106">
        <v>805</v>
      </c>
      <c r="K441" s="110" t="s">
        <v>534</v>
      </c>
      <c r="L441" s="106"/>
      <c r="M441" s="105" t="s">
        <v>2240</v>
      </c>
      <c r="N441" s="106">
        <v>2</v>
      </c>
      <c r="O441" s="107"/>
      <c r="P441" s="107">
        <v>75.760000000000005</v>
      </c>
      <c r="Q441" s="28">
        <f>data[[#This Row],[Costo Producto
Proveedor ($/Unid)]]*data[[#This Row],[Cantidad]]</f>
        <v>0</v>
      </c>
      <c r="R441" s="28">
        <f>data[[#This Row],[Cantidad]]*data[[#This Row],[Precio de Venta Cliente ($/Unid)]]</f>
        <v>151.52000000000001</v>
      </c>
      <c r="S441" s="29"/>
      <c r="T441" s="31" t="s">
        <v>73</v>
      </c>
      <c r="U441" s="109"/>
      <c r="V441" s="30" t="s">
        <v>46</v>
      </c>
      <c r="W441" s="32" t="s">
        <v>46</v>
      </c>
      <c r="X441" s="106" t="s">
        <v>23</v>
      </c>
      <c r="Y441" s="106" t="s">
        <v>23</v>
      </c>
      <c r="Z441" s="106" t="s">
        <v>504</v>
      </c>
      <c r="AA441" s="109"/>
    </row>
    <row r="442" spans="2:27" s="105" customFormat="1" ht="31.5" x14ac:dyDescent="0.25">
      <c r="B442" s="174"/>
      <c r="C442" s="174" t="str">
        <f>TEXT(data[[#This Row],[Fecha de Envío
Cotización]],"MMMM")</f>
        <v>junio</v>
      </c>
      <c r="D442" s="124">
        <v>44363</v>
      </c>
      <c r="E442" s="174" t="str">
        <f>IF(data[[#This Row],[Estatus de 
Cotización]]="PERDIDO","N/A","")</f>
        <v>N/A</v>
      </c>
      <c r="F442" s="174"/>
      <c r="G442" s="109"/>
      <c r="H442" s="174"/>
      <c r="I442" s="86">
        <v>1383588</v>
      </c>
      <c r="J442" s="106">
        <v>796</v>
      </c>
      <c r="K442" s="110" t="s">
        <v>2194</v>
      </c>
      <c r="L442" s="106"/>
      <c r="M442" s="3" t="s">
        <v>2195</v>
      </c>
      <c r="N442" s="106">
        <v>8</v>
      </c>
      <c r="O442" s="107"/>
      <c r="P442" s="107">
        <v>278.20999999999998</v>
      </c>
      <c r="Q442" s="28">
        <f>data[[#This Row],[Costo Producto
Proveedor ($/Unid)]]*data[[#This Row],[Cantidad]]</f>
        <v>0</v>
      </c>
      <c r="R442" s="28">
        <f>data[[#This Row],[Cantidad]]*data[[#This Row],[Precio de Venta Cliente ($/Unid)]]</f>
        <v>2225.6799999999998</v>
      </c>
      <c r="S442" s="29"/>
      <c r="T442" s="31" t="s">
        <v>16</v>
      </c>
      <c r="U442" s="109"/>
      <c r="V442" s="30" t="s">
        <v>42</v>
      </c>
      <c r="W442" s="32" t="s">
        <v>42</v>
      </c>
      <c r="X442" s="106" t="s">
        <v>503</v>
      </c>
      <c r="Y442" s="106" t="s">
        <v>503</v>
      </c>
      <c r="Z442" s="106" t="s">
        <v>504</v>
      </c>
      <c r="AA442" s="59" t="s">
        <v>2301</v>
      </c>
    </row>
    <row r="443" spans="2:27" s="105" customFormat="1" ht="31.5" x14ac:dyDescent="0.25">
      <c r="B443" s="174"/>
      <c r="C443" s="174" t="str">
        <f>TEXT(data[[#This Row],[Fecha de Envío
Cotización]],"MMMM")</f>
        <v>junio</v>
      </c>
      <c r="D443" s="124">
        <v>44363</v>
      </c>
      <c r="E443" s="174">
        <v>44368</v>
      </c>
      <c r="F443" s="174"/>
      <c r="G443" s="109">
        <v>2300002349</v>
      </c>
      <c r="H443" s="174">
        <v>44368</v>
      </c>
      <c r="I443" s="86">
        <v>163344</v>
      </c>
      <c r="J443" s="106">
        <v>796</v>
      </c>
      <c r="K443" s="110" t="s">
        <v>2194</v>
      </c>
      <c r="L443" s="106"/>
      <c r="M443" s="3" t="s">
        <v>2196</v>
      </c>
      <c r="N443" s="106">
        <v>5</v>
      </c>
      <c r="O443" s="107"/>
      <c r="P443" s="107">
        <v>160.72999999999999</v>
      </c>
      <c r="Q443" s="28">
        <f>data[[#This Row],[Costo Producto
Proveedor ($/Unid)]]*data[[#This Row],[Cantidad]]</f>
        <v>0</v>
      </c>
      <c r="R443" s="28">
        <f>data[[#This Row],[Cantidad]]*data[[#This Row],[Precio de Venta Cliente ($/Unid)]]</f>
        <v>803.65</v>
      </c>
      <c r="S443" s="29"/>
      <c r="T443" s="31" t="s">
        <v>16</v>
      </c>
      <c r="U443" s="109"/>
      <c r="V443" s="30" t="s">
        <v>44</v>
      </c>
      <c r="W443" s="32" t="s">
        <v>44</v>
      </c>
      <c r="X443" s="106" t="s">
        <v>503</v>
      </c>
      <c r="Y443" s="106" t="s">
        <v>503</v>
      </c>
      <c r="Z443" s="106" t="s">
        <v>504</v>
      </c>
      <c r="AA443" s="59" t="s">
        <v>2303</v>
      </c>
    </row>
    <row r="444" spans="2:27" s="38" customFormat="1" ht="31.5" x14ac:dyDescent="0.25">
      <c r="B444" s="35"/>
      <c r="C444" s="174" t="str">
        <f>TEXT(data[[#This Row],[Fecha de Envío
Cotización]],"MMMM")</f>
        <v>junio</v>
      </c>
      <c r="D444" s="124">
        <v>44363</v>
      </c>
      <c r="E444" s="174">
        <v>44368</v>
      </c>
      <c r="F444" s="35"/>
      <c r="G444" s="109">
        <v>2300002349</v>
      </c>
      <c r="H444" s="35">
        <v>44368</v>
      </c>
      <c r="I444" s="86">
        <v>163504</v>
      </c>
      <c r="J444" s="106">
        <v>796</v>
      </c>
      <c r="K444" s="110" t="s">
        <v>2194</v>
      </c>
      <c r="L444" s="39"/>
      <c r="M444" s="3" t="s">
        <v>2197</v>
      </c>
      <c r="N444" s="39">
        <v>3</v>
      </c>
      <c r="O444" s="40"/>
      <c r="P444" s="107">
        <v>425.16</v>
      </c>
      <c r="Q444" s="28">
        <f>data[[#This Row],[Costo Producto
Proveedor ($/Unid)]]*data[[#This Row],[Cantidad]]</f>
        <v>0</v>
      </c>
      <c r="R444" s="28">
        <f>data[[#This Row],[Cantidad]]*data[[#This Row],[Precio de Venta Cliente ($/Unid)]]</f>
        <v>1275.48</v>
      </c>
      <c r="S444" s="29"/>
      <c r="T444" s="31" t="s">
        <v>16</v>
      </c>
      <c r="U444" s="109"/>
      <c r="V444" s="30" t="s">
        <v>44</v>
      </c>
      <c r="W444" s="32" t="s">
        <v>44</v>
      </c>
      <c r="X444" s="39" t="s">
        <v>503</v>
      </c>
      <c r="Y444" s="39" t="s">
        <v>503</v>
      </c>
      <c r="Z444" s="39" t="s">
        <v>504</v>
      </c>
      <c r="AA444" s="59" t="s">
        <v>2303</v>
      </c>
    </row>
    <row r="445" spans="2:27" s="38" customFormat="1" ht="31.5" x14ac:dyDescent="0.25">
      <c r="B445" s="174"/>
      <c r="C445" s="174" t="str">
        <f>TEXT(data[[#This Row],[Fecha de Envío
Cotización]],"MMMM")</f>
        <v>junio</v>
      </c>
      <c r="D445" s="124">
        <v>44363</v>
      </c>
      <c r="E445" s="174" t="str">
        <f>IF(data[[#This Row],[Estatus de 
Cotización]]="PERDIDO","N/A","")</f>
        <v>N/A</v>
      </c>
      <c r="F445" s="174"/>
      <c r="G445" s="109"/>
      <c r="H445" s="174"/>
      <c r="I445" s="86">
        <v>532723</v>
      </c>
      <c r="J445" s="106">
        <v>796</v>
      </c>
      <c r="K445" s="110" t="s">
        <v>2194</v>
      </c>
      <c r="L445" s="106"/>
      <c r="M445" s="3" t="s">
        <v>2198</v>
      </c>
      <c r="N445" s="106">
        <v>1</v>
      </c>
      <c r="O445" s="107"/>
      <c r="P445" s="107">
        <v>452.52</v>
      </c>
      <c r="Q445" s="28">
        <f>data[[#This Row],[Costo Producto
Proveedor ($/Unid)]]*data[[#This Row],[Cantidad]]</f>
        <v>0</v>
      </c>
      <c r="R445" s="28">
        <f>data[[#This Row],[Cantidad]]*data[[#This Row],[Precio de Venta Cliente ($/Unid)]]</f>
        <v>452.52</v>
      </c>
      <c r="S445" s="29"/>
      <c r="T445" s="31" t="s">
        <v>16</v>
      </c>
      <c r="U445" s="109"/>
      <c r="V445" s="30" t="s">
        <v>42</v>
      </c>
      <c r="W445" s="32" t="s">
        <v>42</v>
      </c>
      <c r="X445" s="106" t="s">
        <v>503</v>
      </c>
      <c r="Y445" s="106" t="s">
        <v>503</v>
      </c>
      <c r="Z445" s="106" t="s">
        <v>504</v>
      </c>
      <c r="AA445" s="59" t="s">
        <v>2301</v>
      </c>
    </row>
    <row r="446" spans="2:27" s="38" customFormat="1" ht="31.5" x14ac:dyDescent="0.25">
      <c r="B446" s="174"/>
      <c r="C446" s="174" t="str">
        <f>TEXT(data[[#This Row],[Fecha de Envío
Cotización]],"MMMM")</f>
        <v>junio</v>
      </c>
      <c r="D446" s="124">
        <v>44363</v>
      </c>
      <c r="E446" s="174">
        <v>44368</v>
      </c>
      <c r="F446" s="174"/>
      <c r="G446" s="109">
        <v>2300002349</v>
      </c>
      <c r="H446" s="174">
        <v>44368</v>
      </c>
      <c r="I446" s="86">
        <v>163503</v>
      </c>
      <c r="J446" s="106">
        <v>796</v>
      </c>
      <c r="K446" s="37" t="s">
        <v>2194</v>
      </c>
      <c r="L446" s="106"/>
      <c r="M446" s="17" t="s">
        <v>2199</v>
      </c>
      <c r="N446" s="106">
        <v>1</v>
      </c>
      <c r="O446" s="107"/>
      <c r="P446" s="107">
        <v>495.45</v>
      </c>
      <c r="Q446" s="28">
        <f>data[[#This Row],[Costo Producto
Proveedor ($/Unid)]]*data[[#This Row],[Cantidad]]</f>
        <v>0</v>
      </c>
      <c r="R446" s="28">
        <f>data[[#This Row],[Cantidad]]*data[[#This Row],[Precio de Venta Cliente ($/Unid)]]</f>
        <v>495.45</v>
      </c>
      <c r="S446" s="29"/>
      <c r="T446" s="31" t="s">
        <v>16</v>
      </c>
      <c r="U446" s="109"/>
      <c r="V446" s="30" t="s">
        <v>44</v>
      </c>
      <c r="W446" s="32" t="s">
        <v>44</v>
      </c>
      <c r="X446" s="106" t="s">
        <v>503</v>
      </c>
      <c r="Y446" s="106" t="s">
        <v>503</v>
      </c>
      <c r="Z446" s="106" t="s">
        <v>504</v>
      </c>
      <c r="AA446" s="63" t="s">
        <v>2304</v>
      </c>
    </row>
    <row r="447" spans="2:27" s="38" customFormat="1" x14ac:dyDescent="0.25">
      <c r="B447" s="174"/>
      <c r="C447" s="174" t="str">
        <f>TEXT(data[[#This Row],[Fecha de Envío
Cotización]],"MMMM")</f>
        <v>junio</v>
      </c>
      <c r="D447" s="124">
        <v>44365</v>
      </c>
      <c r="E447" s="174"/>
      <c r="F447" s="174"/>
      <c r="G447" s="109"/>
      <c r="H447" s="174"/>
      <c r="I447" s="86" t="s">
        <v>2269</v>
      </c>
      <c r="J447" s="106">
        <v>818</v>
      </c>
      <c r="K447" s="110" t="s">
        <v>32</v>
      </c>
      <c r="L447" s="106"/>
      <c r="M447" s="105" t="s">
        <v>2270</v>
      </c>
      <c r="N447" s="106">
        <v>3</v>
      </c>
      <c r="O447" s="107"/>
      <c r="P447" s="107">
        <v>669.07</v>
      </c>
      <c r="Q447" s="28">
        <f>data[[#This Row],[Costo Producto
Proveedor ($/Unid)]]*data[[#This Row],[Cantidad]]</f>
        <v>0</v>
      </c>
      <c r="R447" s="28">
        <f>data[[#This Row],[Cantidad]]*data[[#This Row],[Precio de Venta Cliente ($/Unid)]]</f>
        <v>2007.21</v>
      </c>
      <c r="S447" s="29"/>
      <c r="T447" s="31" t="s">
        <v>16</v>
      </c>
      <c r="U447" s="109"/>
      <c r="V447" s="30" t="s">
        <v>46</v>
      </c>
      <c r="W447" s="32" t="s">
        <v>46</v>
      </c>
      <c r="X447" s="106" t="s">
        <v>23</v>
      </c>
      <c r="Y447" s="106" t="s">
        <v>23</v>
      </c>
      <c r="Z447" s="106" t="s">
        <v>504</v>
      </c>
      <c r="AA447" s="109"/>
    </row>
    <row r="448" spans="2:27" s="38" customFormat="1" x14ac:dyDescent="0.25">
      <c r="B448" s="174"/>
      <c r="C448" s="174" t="str">
        <f>TEXT(data[[#This Row],[Fecha de Envío
Cotización]],"MMMM")</f>
        <v>junio</v>
      </c>
      <c r="D448" s="124">
        <v>44365</v>
      </c>
      <c r="E448" s="44"/>
      <c r="F448" s="174"/>
      <c r="G448" s="109"/>
      <c r="H448" s="174"/>
      <c r="I448" s="86" t="s">
        <v>2013</v>
      </c>
      <c r="J448" s="106">
        <v>827</v>
      </c>
      <c r="K448" s="110" t="s">
        <v>122</v>
      </c>
      <c r="L448" s="106"/>
      <c r="M448" s="105" t="s">
        <v>2284</v>
      </c>
      <c r="N448" s="106">
        <v>4500</v>
      </c>
      <c r="O448" s="107"/>
      <c r="P448" s="107">
        <v>0.52</v>
      </c>
      <c r="Q448" s="28">
        <f>data[[#This Row],[Costo Producto
Proveedor ($/Unid)]]*data[[#This Row],[Cantidad]]</f>
        <v>0</v>
      </c>
      <c r="R448" s="28">
        <f>data[[#This Row],[Cantidad]]*data[[#This Row],[Precio de Venta Cliente ($/Unid)]]</f>
        <v>2340</v>
      </c>
      <c r="S448" s="29"/>
      <c r="T448" s="31" t="s">
        <v>22</v>
      </c>
      <c r="U448" s="109"/>
      <c r="V448" s="30" t="s">
        <v>44</v>
      </c>
      <c r="W448" s="32" t="s">
        <v>44</v>
      </c>
      <c r="X448" s="106" t="s">
        <v>503</v>
      </c>
      <c r="Y448" s="106" t="s">
        <v>503</v>
      </c>
      <c r="Z448" s="106" t="s">
        <v>504</v>
      </c>
      <c r="AA448" s="109"/>
    </row>
    <row r="449" spans="2:27" s="38" customFormat="1" x14ac:dyDescent="0.25">
      <c r="B449" s="174"/>
      <c r="C449" s="174" t="str">
        <f>TEXT(data[[#This Row],[Fecha de Envío
Cotización]],"MMMM")</f>
        <v>junio</v>
      </c>
      <c r="D449" s="174">
        <v>44368</v>
      </c>
      <c r="E449" s="130"/>
      <c r="F449" s="174"/>
      <c r="G449" s="109"/>
      <c r="H449" s="174"/>
      <c r="I449" s="86" t="s">
        <v>2297</v>
      </c>
      <c r="J449" s="87">
        <v>835</v>
      </c>
      <c r="K449" s="24" t="s">
        <v>109</v>
      </c>
      <c r="L449" s="106"/>
      <c r="M449" s="108" t="s">
        <v>2298</v>
      </c>
      <c r="N449" s="106">
        <v>2</v>
      </c>
      <c r="O449" s="107"/>
      <c r="P449" s="27">
        <v>4115.05</v>
      </c>
      <c r="Q449" s="28">
        <f>data[[#This Row],[Costo Producto
Proveedor ($/Unid)]]*data[[#This Row],[Cantidad]]</f>
        <v>0</v>
      </c>
      <c r="R449" s="28">
        <f>data[[#This Row],[Cantidad]]*data[[#This Row],[Precio de Venta Cliente ($/Unid)]]</f>
        <v>8230.1</v>
      </c>
      <c r="S449" s="29"/>
      <c r="T449" s="106" t="s">
        <v>124</v>
      </c>
      <c r="U449" s="106"/>
      <c r="V449" s="30" t="s">
        <v>473</v>
      </c>
      <c r="W449" s="32" t="s">
        <v>473</v>
      </c>
      <c r="X449" s="106" t="s">
        <v>23</v>
      </c>
      <c r="Y449" s="106" t="s">
        <v>23</v>
      </c>
      <c r="Z449" s="106" t="s">
        <v>504</v>
      </c>
      <c r="AA449" s="109"/>
    </row>
    <row r="450" spans="2:27" s="105" customFormat="1" ht="15.75" x14ac:dyDescent="0.25">
      <c r="B450" s="174"/>
      <c r="C450" s="174" t="str">
        <f>TEXT(data[[#This Row],[Fecha de Envío
Cotización]],"MMMM")</f>
        <v>junio</v>
      </c>
      <c r="D450" s="174">
        <v>44368</v>
      </c>
      <c r="E450" s="130"/>
      <c r="F450" s="174"/>
      <c r="G450" s="109"/>
      <c r="H450" s="174"/>
      <c r="I450" s="86" t="s">
        <v>2310</v>
      </c>
      <c r="J450" s="87">
        <v>841</v>
      </c>
      <c r="K450" s="24" t="s">
        <v>109</v>
      </c>
      <c r="L450" s="106"/>
      <c r="M450" s="108" t="s">
        <v>2311</v>
      </c>
      <c r="N450" s="106">
        <v>2</v>
      </c>
      <c r="O450" s="107"/>
      <c r="P450" s="27">
        <v>4765.05</v>
      </c>
      <c r="Q450" s="28">
        <f>data[[#This Row],[Costo Producto
Proveedor ($/Unid)]]*data[[#This Row],[Cantidad]]</f>
        <v>0</v>
      </c>
      <c r="R450" s="28">
        <f>data[[#This Row],[Cantidad]]*data[[#This Row],[Precio de Venta Cliente ($/Unid)]]</f>
        <v>9530.1</v>
      </c>
      <c r="S450" s="29"/>
      <c r="T450" s="106" t="s">
        <v>124</v>
      </c>
      <c r="U450" s="106"/>
      <c r="V450" s="30" t="s">
        <v>46</v>
      </c>
      <c r="W450" s="32" t="s">
        <v>46</v>
      </c>
      <c r="X450" s="106" t="s">
        <v>503</v>
      </c>
      <c r="Y450" s="106" t="s">
        <v>503</v>
      </c>
      <c r="Z450" s="106" t="s">
        <v>504</v>
      </c>
      <c r="AA450" s="112" t="s">
        <v>2309</v>
      </c>
    </row>
    <row r="451" spans="2:27" s="105" customFormat="1" ht="15.75" x14ac:dyDescent="0.25">
      <c r="B451" s="174"/>
      <c r="C451" s="174" t="str">
        <f>TEXT(data[[#This Row],[Fecha de Envío
Cotización]],"MMMM")</f>
        <v>junio</v>
      </c>
      <c r="D451" s="174">
        <v>44370</v>
      </c>
      <c r="E451" s="130"/>
      <c r="F451" s="174"/>
      <c r="G451" s="109"/>
      <c r="H451" s="174"/>
      <c r="I451" s="86">
        <v>68786</v>
      </c>
      <c r="J451" s="87">
        <v>854</v>
      </c>
      <c r="K451" s="24" t="s">
        <v>534</v>
      </c>
      <c r="L451" s="106"/>
      <c r="M451" s="108" t="s">
        <v>2391</v>
      </c>
      <c r="N451" s="106">
        <v>3</v>
      </c>
      <c r="O451" s="107"/>
      <c r="P451" s="27">
        <v>5.48</v>
      </c>
      <c r="Q451" s="28">
        <f>data[[#This Row],[Costo Producto
Proveedor ($/Unid)]]*data[[#This Row],[Cantidad]]</f>
        <v>0</v>
      </c>
      <c r="R451" s="28">
        <f>data[[#This Row],[Cantidad]]*data[[#This Row],[Precio de Venta Cliente ($/Unid)]]</f>
        <v>16.440000000000001</v>
      </c>
      <c r="S451" s="29"/>
      <c r="T451" s="106" t="s">
        <v>16</v>
      </c>
      <c r="U451" s="106"/>
      <c r="V451" s="30" t="s">
        <v>46</v>
      </c>
      <c r="W451" s="32" t="s">
        <v>46</v>
      </c>
      <c r="X451" s="106" t="s">
        <v>503</v>
      </c>
      <c r="Y451" s="106" t="s">
        <v>503</v>
      </c>
      <c r="Z451" s="106" t="s">
        <v>504</v>
      </c>
      <c r="AA451" s="112"/>
    </row>
    <row r="452" spans="2:27" s="105" customFormat="1" ht="15.75" x14ac:dyDescent="0.25">
      <c r="B452" s="174"/>
      <c r="C452" s="174" t="str">
        <f>TEXT(data[[#This Row],[Fecha de Envío
Cotización]],"MMMM")</f>
        <v>junio</v>
      </c>
      <c r="D452" s="174">
        <v>44370</v>
      </c>
      <c r="E452" s="130"/>
      <c r="F452" s="174"/>
      <c r="G452" s="109"/>
      <c r="H452" s="174"/>
      <c r="I452" s="86">
        <v>68862</v>
      </c>
      <c r="J452" s="87">
        <v>854</v>
      </c>
      <c r="K452" s="24" t="s">
        <v>534</v>
      </c>
      <c r="L452" s="106"/>
      <c r="M452" s="108" t="s">
        <v>2392</v>
      </c>
      <c r="N452" s="106">
        <v>16</v>
      </c>
      <c r="O452" s="107"/>
      <c r="P452" s="27">
        <v>3.1</v>
      </c>
      <c r="Q452" s="28">
        <f>data[[#This Row],[Costo Producto
Proveedor ($/Unid)]]*data[[#This Row],[Cantidad]]</f>
        <v>0</v>
      </c>
      <c r="R452" s="28">
        <f>data[[#This Row],[Cantidad]]*data[[#This Row],[Precio de Venta Cliente ($/Unid)]]</f>
        <v>49.6</v>
      </c>
      <c r="S452" s="29"/>
      <c r="T452" s="106" t="s">
        <v>16</v>
      </c>
      <c r="U452" s="106"/>
      <c r="V452" s="30" t="s">
        <v>46</v>
      </c>
      <c r="W452" s="32" t="s">
        <v>46</v>
      </c>
      <c r="X452" s="106" t="s">
        <v>503</v>
      </c>
      <c r="Y452" s="106" t="s">
        <v>503</v>
      </c>
      <c r="Z452" s="106" t="s">
        <v>504</v>
      </c>
      <c r="AA452" s="112"/>
    </row>
    <row r="453" spans="2:27" s="105" customFormat="1" ht="15.75" x14ac:dyDescent="0.25">
      <c r="B453" s="174"/>
      <c r="C453" s="174" t="str">
        <f>TEXT(data[[#This Row],[Fecha de Envío
Cotización]],"MMMM")</f>
        <v>junio</v>
      </c>
      <c r="D453" s="174">
        <v>44370</v>
      </c>
      <c r="E453" s="130"/>
      <c r="F453" s="174"/>
      <c r="G453" s="109"/>
      <c r="H453" s="174"/>
      <c r="I453" s="86">
        <v>68910</v>
      </c>
      <c r="J453" s="87">
        <v>854</v>
      </c>
      <c r="K453" s="24" t="s">
        <v>534</v>
      </c>
      <c r="L453" s="106"/>
      <c r="M453" s="108" t="s">
        <v>2393</v>
      </c>
      <c r="N453" s="106">
        <v>1</v>
      </c>
      <c r="O453" s="107"/>
      <c r="P453" s="27">
        <v>32.19</v>
      </c>
      <c r="Q453" s="28">
        <f>data[[#This Row],[Costo Producto
Proveedor ($/Unid)]]*data[[#This Row],[Cantidad]]</f>
        <v>0</v>
      </c>
      <c r="R453" s="28">
        <f>data[[#This Row],[Cantidad]]*data[[#This Row],[Precio de Venta Cliente ($/Unid)]]</f>
        <v>32.19</v>
      </c>
      <c r="S453" s="29"/>
      <c r="T453" s="106" t="s">
        <v>16</v>
      </c>
      <c r="U453" s="106"/>
      <c r="V453" s="30" t="s">
        <v>46</v>
      </c>
      <c r="W453" s="32" t="s">
        <v>46</v>
      </c>
      <c r="X453" s="106" t="s">
        <v>503</v>
      </c>
      <c r="Y453" s="106" t="s">
        <v>503</v>
      </c>
      <c r="Z453" s="106" t="s">
        <v>504</v>
      </c>
      <c r="AA453" s="112"/>
    </row>
    <row r="454" spans="2:27" s="105" customFormat="1" ht="15.75" x14ac:dyDescent="0.25">
      <c r="B454" s="174"/>
      <c r="C454" s="174" t="str">
        <f>TEXT(data[[#This Row],[Fecha de Envío
Cotización]],"MMMM")</f>
        <v>junio</v>
      </c>
      <c r="D454" s="174">
        <v>44370</v>
      </c>
      <c r="E454" s="130"/>
      <c r="F454" s="174"/>
      <c r="G454" s="109"/>
      <c r="H454" s="174"/>
      <c r="I454" s="86">
        <v>68911</v>
      </c>
      <c r="J454" s="87">
        <v>854</v>
      </c>
      <c r="K454" s="24" t="s">
        <v>534</v>
      </c>
      <c r="L454" s="106"/>
      <c r="M454" s="108" t="s">
        <v>2394</v>
      </c>
      <c r="N454" s="106">
        <v>1</v>
      </c>
      <c r="O454" s="107"/>
      <c r="P454" s="27">
        <v>3.65</v>
      </c>
      <c r="Q454" s="28">
        <f>data[[#This Row],[Costo Producto
Proveedor ($/Unid)]]*data[[#This Row],[Cantidad]]</f>
        <v>0</v>
      </c>
      <c r="R454" s="28">
        <f>data[[#This Row],[Cantidad]]*data[[#This Row],[Precio de Venta Cliente ($/Unid)]]</f>
        <v>3.65</v>
      </c>
      <c r="S454" s="29"/>
      <c r="T454" s="106" t="s">
        <v>16</v>
      </c>
      <c r="U454" s="106"/>
      <c r="V454" s="30" t="s">
        <v>46</v>
      </c>
      <c r="W454" s="32" t="s">
        <v>46</v>
      </c>
      <c r="X454" s="106" t="s">
        <v>503</v>
      </c>
      <c r="Y454" s="106" t="s">
        <v>503</v>
      </c>
      <c r="Z454" s="106" t="s">
        <v>504</v>
      </c>
      <c r="AA454" s="112"/>
    </row>
    <row r="455" spans="2:27" s="105" customFormat="1" ht="15.75" x14ac:dyDescent="0.25">
      <c r="B455" s="174"/>
      <c r="C455" s="174" t="str">
        <f>TEXT(data[[#This Row],[Fecha de Envío
Cotización]],"MMMM")</f>
        <v>junio</v>
      </c>
      <c r="D455" s="174">
        <v>44370</v>
      </c>
      <c r="E455" s="130"/>
      <c r="F455" s="174"/>
      <c r="G455" s="109"/>
      <c r="H455" s="174"/>
      <c r="I455" s="86">
        <v>69026</v>
      </c>
      <c r="J455" s="87">
        <v>854</v>
      </c>
      <c r="K455" s="24" t="s">
        <v>534</v>
      </c>
      <c r="L455" s="106"/>
      <c r="M455" s="108" t="s">
        <v>2395</v>
      </c>
      <c r="N455" s="106">
        <v>4</v>
      </c>
      <c r="O455" s="107"/>
      <c r="P455" s="27">
        <v>4.2</v>
      </c>
      <c r="Q455" s="28">
        <f>data[[#This Row],[Costo Producto
Proveedor ($/Unid)]]*data[[#This Row],[Cantidad]]</f>
        <v>0</v>
      </c>
      <c r="R455" s="28">
        <f>data[[#This Row],[Cantidad]]*data[[#This Row],[Precio de Venta Cliente ($/Unid)]]</f>
        <v>16.8</v>
      </c>
      <c r="S455" s="29"/>
      <c r="T455" s="106" t="s">
        <v>16</v>
      </c>
      <c r="U455" s="106"/>
      <c r="V455" s="30" t="s">
        <v>46</v>
      </c>
      <c r="W455" s="32" t="s">
        <v>46</v>
      </c>
      <c r="X455" s="106" t="s">
        <v>503</v>
      </c>
      <c r="Y455" s="106" t="s">
        <v>503</v>
      </c>
      <c r="Z455" s="106" t="s">
        <v>504</v>
      </c>
      <c r="AA455" s="112"/>
    </row>
    <row r="456" spans="2:27" s="105" customFormat="1" ht="15.75" x14ac:dyDescent="0.25">
      <c r="B456" s="174"/>
      <c r="C456" s="174" t="str">
        <f>TEXT(data[[#This Row],[Fecha de Envío
Cotización]],"MMMM")</f>
        <v>junio</v>
      </c>
      <c r="D456" s="174">
        <v>44370</v>
      </c>
      <c r="E456" s="130"/>
      <c r="F456" s="174"/>
      <c r="G456" s="109"/>
      <c r="H456" s="174"/>
      <c r="I456" s="86">
        <v>69027</v>
      </c>
      <c r="J456" s="87">
        <v>854</v>
      </c>
      <c r="K456" s="24" t="s">
        <v>534</v>
      </c>
      <c r="L456" s="106"/>
      <c r="M456" s="108" t="s">
        <v>546</v>
      </c>
      <c r="N456" s="106">
        <v>2</v>
      </c>
      <c r="O456" s="107"/>
      <c r="P456" s="27">
        <v>5.48</v>
      </c>
      <c r="Q456" s="28">
        <f>data[[#This Row],[Costo Producto
Proveedor ($/Unid)]]*data[[#This Row],[Cantidad]]</f>
        <v>0</v>
      </c>
      <c r="R456" s="28">
        <f>data[[#This Row],[Cantidad]]*data[[#This Row],[Precio de Venta Cliente ($/Unid)]]</f>
        <v>10.96</v>
      </c>
      <c r="S456" s="29"/>
      <c r="T456" s="106" t="s">
        <v>16</v>
      </c>
      <c r="U456" s="106"/>
      <c r="V456" s="30" t="s">
        <v>46</v>
      </c>
      <c r="W456" s="32" t="s">
        <v>46</v>
      </c>
      <c r="X456" s="106" t="s">
        <v>503</v>
      </c>
      <c r="Y456" s="106" t="s">
        <v>503</v>
      </c>
      <c r="Z456" s="106" t="s">
        <v>504</v>
      </c>
      <c r="AA456" s="112"/>
    </row>
    <row r="457" spans="2:27" s="105" customFormat="1" ht="15.75" x14ac:dyDescent="0.25">
      <c r="B457" s="174"/>
      <c r="C457" s="174" t="str">
        <f>TEXT(data[[#This Row],[Fecha de Envío
Cotización]],"MMMM")</f>
        <v>junio</v>
      </c>
      <c r="D457" s="174">
        <v>44370</v>
      </c>
      <c r="E457" s="130"/>
      <c r="F457" s="174"/>
      <c r="G457" s="109"/>
      <c r="H457" s="174"/>
      <c r="I457" s="86">
        <v>69028</v>
      </c>
      <c r="J457" s="87">
        <v>854</v>
      </c>
      <c r="K457" s="24" t="s">
        <v>534</v>
      </c>
      <c r="L457" s="106"/>
      <c r="M457" s="108" t="s">
        <v>2396</v>
      </c>
      <c r="N457" s="106">
        <v>1</v>
      </c>
      <c r="O457" s="107"/>
      <c r="P457" s="27">
        <v>96.1</v>
      </c>
      <c r="Q457" s="28">
        <f>data[[#This Row],[Costo Producto
Proveedor ($/Unid)]]*data[[#This Row],[Cantidad]]</f>
        <v>0</v>
      </c>
      <c r="R457" s="28">
        <f>data[[#This Row],[Cantidad]]*data[[#This Row],[Precio de Venta Cliente ($/Unid)]]</f>
        <v>96.1</v>
      </c>
      <c r="S457" s="29"/>
      <c r="T457" s="106" t="s">
        <v>16</v>
      </c>
      <c r="U457" s="106"/>
      <c r="V457" s="30" t="s">
        <v>46</v>
      </c>
      <c r="W457" s="32" t="s">
        <v>46</v>
      </c>
      <c r="X457" s="106" t="s">
        <v>503</v>
      </c>
      <c r="Y457" s="106" t="s">
        <v>503</v>
      </c>
      <c r="Z457" s="106" t="s">
        <v>504</v>
      </c>
      <c r="AA457" s="112"/>
    </row>
    <row r="458" spans="2:27" s="105" customFormat="1" ht="15.75" x14ac:dyDescent="0.25">
      <c r="B458" s="174"/>
      <c r="C458" s="174" t="str">
        <f>TEXT(data[[#This Row],[Fecha de Envío
Cotización]],"MMMM")</f>
        <v>junio</v>
      </c>
      <c r="D458" s="174">
        <v>44370</v>
      </c>
      <c r="E458" s="130"/>
      <c r="F458" s="174"/>
      <c r="G458" s="109"/>
      <c r="H458" s="174"/>
      <c r="I458" s="86" t="s">
        <v>2397</v>
      </c>
      <c r="J458" s="87">
        <v>856</v>
      </c>
      <c r="K458" s="24" t="s">
        <v>109</v>
      </c>
      <c r="L458" s="106"/>
      <c r="M458" s="108" t="s">
        <v>2398</v>
      </c>
      <c r="N458" s="106">
        <v>4</v>
      </c>
      <c r="O458" s="107"/>
      <c r="P458" s="27">
        <v>1180.3399999999999</v>
      </c>
      <c r="Q458" s="28">
        <f>data[[#This Row],[Costo Producto
Proveedor ($/Unid)]]*data[[#This Row],[Cantidad]]</f>
        <v>0</v>
      </c>
      <c r="R458" s="28">
        <f>data[[#This Row],[Cantidad]]*data[[#This Row],[Precio de Venta Cliente ($/Unid)]]</f>
        <v>4721.3599999999997</v>
      </c>
      <c r="S458" s="29"/>
      <c r="T458" s="106" t="s">
        <v>16</v>
      </c>
      <c r="U458" s="106"/>
      <c r="V458" s="30" t="s">
        <v>473</v>
      </c>
      <c r="W458" s="32" t="s">
        <v>473</v>
      </c>
      <c r="X458" s="106" t="s">
        <v>23</v>
      </c>
      <c r="Y458" s="106" t="s">
        <v>23</v>
      </c>
      <c r="Z458" s="106" t="s">
        <v>504</v>
      </c>
      <c r="AA458" s="112" t="s">
        <v>2519</v>
      </c>
    </row>
    <row r="459" spans="2:27" s="105" customFormat="1" ht="15.75" x14ac:dyDescent="0.25">
      <c r="B459" s="174"/>
      <c r="C459" s="174" t="str">
        <f>TEXT(data[[#This Row],[Fecha de Envío
Cotización]],"MMMM")</f>
        <v>junio</v>
      </c>
      <c r="D459" s="174">
        <v>44371</v>
      </c>
      <c r="E459" s="130"/>
      <c r="F459" s="174"/>
      <c r="G459" s="109"/>
      <c r="H459" s="174"/>
      <c r="I459" s="86">
        <v>547908</v>
      </c>
      <c r="J459" s="87">
        <v>858</v>
      </c>
      <c r="K459" s="24" t="s">
        <v>534</v>
      </c>
      <c r="L459" s="106"/>
      <c r="M459" s="108" t="s">
        <v>2406</v>
      </c>
      <c r="N459" s="106">
        <v>1</v>
      </c>
      <c r="O459" s="107"/>
      <c r="P459" s="27">
        <v>267.81</v>
      </c>
      <c r="Q459" s="28">
        <f>data[[#This Row],[Costo Producto
Proveedor ($/Unid)]]*data[[#This Row],[Cantidad]]</f>
        <v>0</v>
      </c>
      <c r="R459" s="28">
        <f>data[[#This Row],[Cantidad]]*data[[#This Row],[Precio de Venta Cliente ($/Unid)]]</f>
        <v>267.81</v>
      </c>
      <c r="S459" s="29"/>
      <c r="T459" s="106" t="s">
        <v>124</v>
      </c>
      <c r="U459" s="106"/>
      <c r="V459" s="30" t="s">
        <v>46</v>
      </c>
      <c r="W459" s="32" t="s">
        <v>46</v>
      </c>
      <c r="X459" s="106" t="s">
        <v>503</v>
      </c>
      <c r="Y459" s="106" t="s">
        <v>503</v>
      </c>
      <c r="Z459" s="106" t="s">
        <v>504</v>
      </c>
      <c r="AA459" s="112"/>
    </row>
    <row r="460" spans="2:27" s="105" customFormat="1" ht="15.75" x14ac:dyDescent="0.25">
      <c r="B460" s="174"/>
      <c r="C460" s="174" t="str">
        <f>TEXT(data[[#This Row],[Fecha de Envío
Cotización]],"MMMM")</f>
        <v>junio</v>
      </c>
      <c r="D460" s="174">
        <v>44371</v>
      </c>
      <c r="E460" s="130"/>
      <c r="F460" s="174"/>
      <c r="G460" s="109"/>
      <c r="H460" s="174"/>
      <c r="I460" s="86">
        <v>8037006</v>
      </c>
      <c r="J460" s="87">
        <v>860</v>
      </c>
      <c r="K460" s="24" t="s">
        <v>534</v>
      </c>
      <c r="L460" s="106"/>
      <c r="M460" s="108" t="s">
        <v>2407</v>
      </c>
      <c r="N460" s="106">
        <v>3</v>
      </c>
      <c r="O460" s="107"/>
      <c r="P460" s="27">
        <v>188.37</v>
      </c>
      <c r="Q460" s="28">
        <f>data[[#This Row],[Costo Producto
Proveedor ($/Unid)]]*data[[#This Row],[Cantidad]]</f>
        <v>0</v>
      </c>
      <c r="R460" s="28">
        <f>data[[#This Row],[Cantidad]]*data[[#This Row],[Precio de Venta Cliente ($/Unid)]]</f>
        <v>565.11</v>
      </c>
      <c r="S460" s="29"/>
      <c r="T460" s="106" t="s">
        <v>73</v>
      </c>
      <c r="U460" s="106"/>
      <c r="V460" s="30" t="s">
        <v>46</v>
      </c>
      <c r="W460" s="32" t="s">
        <v>46</v>
      </c>
      <c r="X460" s="106" t="s">
        <v>503</v>
      </c>
      <c r="Y460" s="106" t="s">
        <v>503</v>
      </c>
      <c r="Z460" s="106" t="s">
        <v>504</v>
      </c>
      <c r="AA460" s="112"/>
    </row>
    <row r="461" spans="2:27" s="105" customFormat="1" ht="15.75" x14ac:dyDescent="0.25">
      <c r="B461" s="174"/>
      <c r="C461" s="174" t="str">
        <f>TEXT(data[[#This Row],[Fecha de Envío
Cotización]],"MMMM")</f>
        <v>junio</v>
      </c>
      <c r="D461" s="174">
        <v>44372</v>
      </c>
      <c r="E461" s="130"/>
      <c r="F461" s="174"/>
      <c r="G461" s="109"/>
      <c r="H461" s="174"/>
      <c r="I461" s="86" t="s">
        <v>2286</v>
      </c>
      <c r="J461" s="87">
        <v>863</v>
      </c>
      <c r="K461" s="24" t="s">
        <v>109</v>
      </c>
      <c r="L461" s="106"/>
      <c r="M461" s="108" t="s">
        <v>2287</v>
      </c>
      <c r="N461" s="106">
        <v>1</v>
      </c>
      <c r="O461" s="107"/>
      <c r="P461" s="27">
        <v>364.67</v>
      </c>
      <c r="Q461" s="28">
        <f>data[[#This Row],[Costo Producto
Proveedor ($/Unid)]]*data[[#This Row],[Cantidad]]</f>
        <v>0</v>
      </c>
      <c r="R461" s="28">
        <f>data[[#This Row],[Cantidad]]*data[[#This Row],[Precio de Venta Cliente ($/Unid)]]</f>
        <v>364.67</v>
      </c>
      <c r="S461" s="29"/>
      <c r="T461" s="106" t="s">
        <v>36</v>
      </c>
      <c r="U461" s="106"/>
      <c r="V461" s="30" t="s">
        <v>46</v>
      </c>
      <c r="W461" s="32" t="s">
        <v>46</v>
      </c>
      <c r="X461" s="106" t="s">
        <v>503</v>
      </c>
      <c r="Y461" s="106" t="s">
        <v>503</v>
      </c>
      <c r="Z461" s="106" t="s">
        <v>504</v>
      </c>
      <c r="AA461" s="112"/>
    </row>
    <row r="462" spans="2:27" s="105" customFormat="1" ht="15.75" x14ac:dyDescent="0.25">
      <c r="B462" s="174"/>
      <c r="C462" s="174" t="str">
        <f>TEXT(data[[#This Row],[Fecha de Envío
Cotización]],"MMMM")</f>
        <v>junio</v>
      </c>
      <c r="D462" s="174">
        <v>44375</v>
      </c>
      <c r="E462" s="130"/>
      <c r="F462" s="174"/>
      <c r="G462" s="109"/>
      <c r="H462" s="174"/>
      <c r="I462" s="86">
        <v>418456</v>
      </c>
      <c r="J462" s="87">
        <v>870</v>
      </c>
      <c r="K462" s="24" t="s">
        <v>32</v>
      </c>
      <c r="L462" s="106"/>
      <c r="M462" s="108" t="s">
        <v>2483</v>
      </c>
      <c r="N462" s="106">
        <v>3</v>
      </c>
      <c r="O462" s="107"/>
      <c r="P462" s="27">
        <v>531.85</v>
      </c>
      <c r="Q462" s="28">
        <f>data[[#This Row],[Costo Producto
Proveedor ($/Unid)]]*data[[#This Row],[Cantidad]]</f>
        <v>0</v>
      </c>
      <c r="R462" s="28">
        <f>data[[#This Row],[Cantidad]]*data[[#This Row],[Precio de Venta Cliente ($/Unid)]]</f>
        <v>1595.5500000000002</v>
      </c>
      <c r="S462" s="29"/>
      <c r="T462" s="106" t="s">
        <v>119</v>
      </c>
      <c r="U462" s="106"/>
      <c r="V462" s="30" t="s">
        <v>46</v>
      </c>
      <c r="W462" s="32" t="s">
        <v>46</v>
      </c>
      <c r="X462" s="106" t="s">
        <v>503</v>
      </c>
      <c r="Y462" s="106" t="s">
        <v>503</v>
      </c>
      <c r="Z462" s="106" t="s">
        <v>504</v>
      </c>
      <c r="AA462" s="112"/>
    </row>
    <row r="463" spans="2:27" s="105" customFormat="1" ht="15.75" x14ac:dyDescent="0.25">
      <c r="B463" s="174"/>
      <c r="C463" s="174" t="str">
        <f>TEXT(data[[#This Row],[Fecha de Envío
Cotización]],"MMMM")</f>
        <v>junio</v>
      </c>
      <c r="D463" s="174">
        <v>44375</v>
      </c>
      <c r="E463" s="130"/>
      <c r="F463" s="174"/>
      <c r="G463" s="109"/>
      <c r="H463" s="174"/>
      <c r="I463" s="86">
        <v>416014</v>
      </c>
      <c r="J463" s="87">
        <v>870</v>
      </c>
      <c r="K463" s="24" t="s">
        <v>32</v>
      </c>
      <c r="L463" s="106"/>
      <c r="M463" s="108" t="s">
        <v>2484</v>
      </c>
      <c r="N463" s="106">
        <v>10</v>
      </c>
      <c r="O463" s="107"/>
      <c r="P463" s="27">
        <v>33.770000000000003</v>
      </c>
      <c r="Q463" s="28">
        <f>data[[#This Row],[Costo Producto
Proveedor ($/Unid)]]*data[[#This Row],[Cantidad]]</f>
        <v>0</v>
      </c>
      <c r="R463" s="28">
        <f>data[[#This Row],[Cantidad]]*data[[#This Row],[Precio de Venta Cliente ($/Unid)]]</f>
        <v>337.70000000000005</v>
      </c>
      <c r="S463" s="29"/>
      <c r="T463" s="106" t="s">
        <v>119</v>
      </c>
      <c r="U463" s="106"/>
      <c r="V463" s="30" t="s">
        <v>46</v>
      </c>
      <c r="W463" s="32" t="s">
        <v>46</v>
      </c>
      <c r="X463" s="106" t="s">
        <v>503</v>
      </c>
      <c r="Y463" s="106" t="s">
        <v>503</v>
      </c>
      <c r="Z463" s="106" t="s">
        <v>504</v>
      </c>
      <c r="AA463" s="112"/>
    </row>
    <row r="464" spans="2:27" s="105" customFormat="1" ht="15.75" x14ac:dyDescent="0.25">
      <c r="B464" s="174"/>
      <c r="C464" s="174" t="str">
        <f>TEXT(data[[#This Row],[Fecha de Envío
Cotización]],"MMMM")</f>
        <v>junio</v>
      </c>
      <c r="D464" s="174">
        <v>44375</v>
      </c>
      <c r="E464" s="130"/>
      <c r="F464" s="174"/>
      <c r="G464" s="109"/>
      <c r="H464" s="174"/>
      <c r="I464" s="86">
        <v>418268</v>
      </c>
      <c r="J464" s="87">
        <v>870</v>
      </c>
      <c r="K464" s="24" t="s">
        <v>32</v>
      </c>
      <c r="L464" s="106"/>
      <c r="M464" s="108" t="s">
        <v>2485</v>
      </c>
      <c r="N464" s="106">
        <v>10</v>
      </c>
      <c r="O464" s="107"/>
      <c r="P464" s="27">
        <v>84.42</v>
      </c>
      <c r="Q464" s="28">
        <f>data[[#This Row],[Costo Producto
Proveedor ($/Unid)]]*data[[#This Row],[Cantidad]]</f>
        <v>0</v>
      </c>
      <c r="R464" s="28">
        <f>data[[#This Row],[Cantidad]]*data[[#This Row],[Precio de Venta Cliente ($/Unid)]]</f>
        <v>844.2</v>
      </c>
      <c r="S464" s="29"/>
      <c r="T464" s="106" t="s">
        <v>119</v>
      </c>
      <c r="U464" s="106"/>
      <c r="V464" s="30" t="s">
        <v>46</v>
      </c>
      <c r="W464" s="32" t="s">
        <v>46</v>
      </c>
      <c r="X464" s="106" t="s">
        <v>503</v>
      </c>
      <c r="Y464" s="106" t="s">
        <v>503</v>
      </c>
      <c r="Z464" s="106" t="s">
        <v>504</v>
      </c>
      <c r="AA464" s="112"/>
    </row>
    <row r="465" spans="2:27" s="105" customFormat="1" ht="15.75" x14ac:dyDescent="0.25">
      <c r="B465" s="174"/>
      <c r="C465" s="174" t="str">
        <f>TEXT(data[[#This Row],[Fecha de Envío
Cotización]],"MMMM")</f>
        <v>junio</v>
      </c>
      <c r="D465" s="174">
        <v>44375</v>
      </c>
      <c r="E465" s="130"/>
      <c r="F465" s="174"/>
      <c r="G465" s="109"/>
      <c r="H465" s="174"/>
      <c r="I465" s="86" t="s">
        <v>2501</v>
      </c>
      <c r="J465" s="87">
        <v>873</v>
      </c>
      <c r="K465" s="24" t="s">
        <v>138</v>
      </c>
      <c r="L465" s="106"/>
      <c r="M465" s="108" t="s">
        <v>2502</v>
      </c>
      <c r="N465" s="106">
        <v>2</v>
      </c>
      <c r="O465" s="107"/>
      <c r="P465" s="27">
        <v>631.66999999999996</v>
      </c>
      <c r="Q465" s="28">
        <f>data[[#This Row],[Costo Producto
Proveedor ($/Unid)]]*data[[#This Row],[Cantidad]]</f>
        <v>0</v>
      </c>
      <c r="R465" s="28">
        <f>data[[#This Row],[Cantidad]]*data[[#This Row],[Precio de Venta Cliente ($/Unid)]]</f>
        <v>1263.3399999999999</v>
      </c>
      <c r="S465" s="29"/>
      <c r="T465" s="106" t="s">
        <v>16</v>
      </c>
      <c r="U465" s="106"/>
      <c r="V465" s="30" t="s">
        <v>473</v>
      </c>
      <c r="W465" s="32" t="s">
        <v>473</v>
      </c>
      <c r="X465" s="106" t="s">
        <v>473</v>
      </c>
      <c r="Y465" s="106" t="s">
        <v>473</v>
      </c>
      <c r="Z465" s="106" t="s">
        <v>504</v>
      </c>
      <c r="AA465" s="112" t="s">
        <v>2561</v>
      </c>
    </row>
    <row r="466" spans="2:27" s="105" customFormat="1" ht="15.75" x14ac:dyDescent="0.25">
      <c r="B466" s="174"/>
      <c r="C466" s="174" t="str">
        <f>TEXT(data[[#This Row],[Fecha de Envío
Cotización]],"MMMM")</f>
        <v>junio</v>
      </c>
      <c r="D466" s="174">
        <v>44375</v>
      </c>
      <c r="E466" s="130"/>
      <c r="F466" s="174"/>
      <c r="G466" s="109"/>
      <c r="H466" s="174"/>
      <c r="I466" s="86" t="s">
        <v>2511</v>
      </c>
      <c r="J466" s="87">
        <v>875</v>
      </c>
      <c r="K466" s="24" t="s">
        <v>138</v>
      </c>
      <c r="L466" s="106"/>
      <c r="M466" s="108" t="s">
        <v>2512</v>
      </c>
      <c r="N466" s="106">
        <v>2</v>
      </c>
      <c r="O466" s="107"/>
      <c r="P466" s="27">
        <v>242.88</v>
      </c>
      <c r="Q466" s="28">
        <f>data[[#This Row],[Costo Producto
Proveedor ($/Unid)]]*data[[#This Row],[Cantidad]]</f>
        <v>0</v>
      </c>
      <c r="R466" s="28">
        <f>data[[#This Row],[Cantidad]]*data[[#This Row],[Precio de Venta Cliente ($/Unid)]]</f>
        <v>485.76</v>
      </c>
      <c r="S466" s="29"/>
      <c r="T466" s="106" t="s">
        <v>16</v>
      </c>
      <c r="U466" s="106"/>
      <c r="V466" s="30" t="s">
        <v>473</v>
      </c>
      <c r="W466" s="32" t="s">
        <v>473</v>
      </c>
      <c r="X466" s="106" t="s">
        <v>473</v>
      </c>
      <c r="Y466" s="106" t="s">
        <v>473</v>
      </c>
      <c r="Z466" s="106" t="s">
        <v>504</v>
      </c>
      <c r="AA466" s="112" t="s">
        <v>2561</v>
      </c>
    </row>
    <row r="467" spans="2:27" s="105" customFormat="1" ht="15.75" x14ac:dyDescent="0.25">
      <c r="B467" s="174"/>
      <c r="C467" s="174" t="str">
        <f>TEXT(data[[#This Row],[Fecha de Envío
Cotización]],"MMMM")</f>
        <v>junio</v>
      </c>
      <c r="D467" s="174">
        <v>44376</v>
      </c>
      <c r="E467" s="130"/>
      <c r="F467" s="174"/>
      <c r="G467" s="109"/>
      <c r="H467" s="174"/>
      <c r="I467" s="86" t="s">
        <v>2533</v>
      </c>
      <c r="J467" s="87">
        <v>881</v>
      </c>
      <c r="K467" s="24" t="s">
        <v>138</v>
      </c>
      <c r="L467" s="106"/>
      <c r="M467" s="108" t="s">
        <v>2534</v>
      </c>
      <c r="N467" s="106">
        <v>1</v>
      </c>
      <c r="O467" s="107"/>
      <c r="P467" s="27">
        <v>1600.34</v>
      </c>
      <c r="Q467" s="28">
        <f>data[[#This Row],[Costo Producto
Proveedor ($/Unid)]]*data[[#This Row],[Cantidad]]</f>
        <v>0</v>
      </c>
      <c r="R467" s="28">
        <f>data[[#This Row],[Cantidad]]*data[[#This Row],[Precio de Venta Cliente ($/Unid)]]</f>
        <v>1600.34</v>
      </c>
      <c r="S467" s="29"/>
      <c r="T467" s="106" t="s">
        <v>16</v>
      </c>
      <c r="U467" s="106"/>
      <c r="V467" s="30" t="s">
        <v>473</v>
      </c>
      <c r="W467" s="32" t="s">
        <v>473</v>
      </c>
      <c r="X467" s="106" t="s">
        <v>473</v>
      </c>
      <c r="Y467" s="106" t="s">
        <v>473</v>
      </c>
      <c r="Z467" s="106" t="s">
        <v>504</v>
      </c>
      <c r="AA467" s="112" t="s">
        <v>2561</v>
      </c>
    </row>
    <row r="468" spans="2:27" s="105" customFormat="1" ht="15.75" x14ac:dyDescent="0.25">
      <c r="B468" s="174"/>
      <c r="C468" s="174" t="str">
        <f>TEXT(data[[#This Row],[Fecha de Envío
Cotización]],"MMMM")</f>
        <v>junio</v>
      </c>
      <c r="D468" s="174">
        <v>44377</v>
      </c>
      <c r="E468" s="130"/>
      <c r="F468" s="174"/>
      <c r="G468" s="109"/>
      <c r="H468" s="174"/>
      <c r="I468" s="86" t="s">
        <v>2560</v>
      </c>
      <c r="J468" s="87">
        <v>891</v>
      </c>
      <c r="K468" s="24" t="s">
        <v>138</v>
      </c>
      <c r="L468" s="106"/>
      <c r="M468" s="108" t="s">
        <v>2558</v>
      </c>
      <c r="N468" s="106">
        <v>1</v>
      </c>
      <c r="O468" s="107"/>
      <c r="P468" s="27">
        <v>1850</v>
      </c>
      <c r="Q468" s="28">
        <f>data[[#This Row],[Costo Producto
Proveedor ($/Unid)]]*data[[#This Row],[Cantidad]]</f>
        <v>0</v>
      </c>
      <c r="R468" s="28">
        <f>data[[#This Row],[Cantidad]]*data[[#This Row],[Precio de Venta Cliente ($/Unid)]]</f>
        <v>1850</v>
      </c>
      <c r="S468" s="29"/>
      <c r="T468" s="106" t="s">
        <v>2559</v>
      </c>
      <c r="U468" s="106"/>
      <c r="V468" s="30" t="s">
        <v>46</v>
      </c>
      <c r="W468" s="32" t="s">
        <v>46</v>
      </c>
      <c r="X468" s="106" t="s">
        <v>503</v>
      </c>
      <c r="Y468" s="106" t="s">
        <v>503</v>
      </c>
      <c r="Z468" s="106" t="s">
        <v>504</v>
      </c>
      <c r="AA468" s="112"/>
    </row>
    <row r="469" spans="2:27" s="105" customFormat="1" ht="15.75" x14ac:dyDescent="0.25">
      <c r="B469" s="174"/>
      <c r="C469" s="174" t="str">
        <f>TEXT(data[[#This Row],[Fecha de Envío
Cotización]],"MMMM")</f>
        <v>junio</v>
      </c>
      <c r="D469" s="174">
        <v>44377</v>
      </c>
      <c r="E469" s="130"/>
      <c r="F469" s="174"/>
      <c r="G469" s="109"/>
      <c r="H469" s="174"/>
      <c r="I469" s="86" t="s">
        <v>2511</v>
      </c>
      <c r="J469" s="87">
        <v>892</v>
      </c>
      <c r="K469" s="24" t="s">
        <v>138</v>
      </c>
      <c r="L469" s="106"/>
      <c r="M469" s="108" t="s">
        <v>2512</v>
      </c>
      <c r="N469" s="106">
        <v>2</v>
      </c>
      <c r="O469" s="107"/>
      <c r="P469" s="27">
        <v>145.05000000000001</v>
      </c>
      <c r="Q469" s="28">
        <f>data[[#This Row],[Costo Producto
Proveedor ($/Unid)]]*data[[#This Row],[Cantidad]]</f>
        <v>0</v>
      </c>
      <c r="R469" s="28">
        <f>data[[#This Row],[Cantidad]]*data[[#This Row],[Precio de Venta Cliente ($/Unid)]]</f>
        <v>290.10000000000002</v>
      </c>
      <c r="S469" s="29"/>
      <c r="T469" s="106" t="s">
        <v>119</v>
      </c>
      <c r="U469" s="106"/>
      <c r="V469" s="30" t="s">
        <v>46</v>
      </c>
      <c r="W469" s="32" t="s">
        <v>46</v>
      </c>
      <c r="X469" s="106" t="s">
        <v>503</v>
      </c>
      <c r="Y469" s="106" t="s">
        <v>503</v>
      </c>
      <c r="Z469" s="106" t="s">
        <v>504</v>
      </c>
      <c r="AA469" s="112"/>
    </row>
    <row r="470" spans="2:27" s="105" customFormat="1" ht="15.75" x14ac:dyDescent="0.25">
      <c r="B470" s="174"/>
      <c r="C470" s="174" t="str">
        <f>TEXT(data[[#This Row],[Fecha de Envío
Cotización]],"MMMM")</f>
        <v>junio</v>
      </c>
      <c r="D470" s="174">
        <v>44377</v>
      </c>
      <c r="E470" s="130"/>
      <c r="F470" s="174"/>
      <c r="G470" s="109"/>
      <c r="H470" s="174"/>
      <c r="I470" s="86" t="s">
        <v>2501</v>
      </c>
      <c r="J470" s="87">
        <v>894</v>
      </c>
      <c r="K470" s="24" t="s">
        <v>138</v>
      </c>
      <c r="L470" s="106"/>
      <c r="M470" s="108" t="s">
        <v>2502</v>
      </c>
      <c r="N470" s="106">
        <v>2</v>
      </c>
      <c r="O470" s="107"/>
      <c r="P470" s="27">
        <v>528</v>
      </c>
      <c r="Q470" s="28">
        <f>data[[#This Row],[Costo Producto
Proveedor ($/Unid)]]*data[[#This Row],[Cantidad]]</f>
        <v>0</v>
      </c>
      <c r="R470" s="28">
        <f>data[[#This Row],[Cantidad]]*data[[#This Row],[Precio de Venta Cliente ($/Unid)]]</f>
        <v>1056</v>
      </c>
      <c r="S470" s="29"/>
      <c r="T470" s="106" t="s">
        <v>16</v>
      </c>
      <c r="U470" s="106"/>
      <c r="V470" s="30" t="s">
        <v>46</v>
      </c>
      <c r="W470" s="32" t="s">
        <v>46</v>
      </c>
      <c r="X470" s="106" t="s">
        <v>503</v>
      </c>
      <c r="Y470" s="106" t="s">
        <v>503</v>
      </c>
      <c r="Z470" s="106" t="s">
        <v>504</v>
      </c>
      <c r="AA470" s="112"/>
    </row>
    <row r="471" spans="2:27" s="38" customFormat="1" x14ac:dyDescent="0.25">
      <c r="B471" s="174"/>
      <c r="C471" s="174" t="str">
        <f>TEXT(data[[#This Row],[Fecha de Envío
Cotización]],"MMMM")</f>
        <v>febrero</v>
      </c>
      <c r="D471" s="174">
        <v>44237</v>
      </c>
      <c r="E471" s="174" t="str">
        <f>IF(data[[#This Row],[Estatus de 
Cotización]]="PERDIDO","N/A","")</f>
        <v>N/A</v>
      </c>
      <c r="F471" s="174"/>
      <c r="G471" s="109"/>
      <c r="H471" s="174"/>
      <c r="I471" s="86">
        <v>511437</v>
      </c>
      <c r="J471" s="87">
        <v>20026</v>
      </c>
      <c r="K471" s="24" t="s">
        <v>1020</v>
      </c>
      <c r="L471" s="106"/>
      <c r="M471" s="105" t="s">
        <v>1021</v>
      </c>
      <c r="N471" s="106">
        <v>1</v>
      </c>
      <c r="O471" s="107"/>
      <c r="P471" s="107">
        <v>8.1</v>
      </c>
      <c r="Q471" s="28">
        <f>data[[#This Row],[Costo Producto
Proveedor ($/Unid)]]*data[[#This Row],[Cantidad]]</f>
        <v>0</v>
      </c>
      <c r="R471" s="28">
        <f>data[[#This Row],[Cantidad]]*data[[#This Row],[Precio de Venta Cliente ($/Unid)]]</f>
        <v>8.1</v>
      </c>
      <c r="S471" s="29"/>
      <c r="T471" s="106" t="s">
        <v>15</v>
      </c>
      <c r="U471" s="106"/>
      <c r="V471" s="30" t="s">
        <v>42</v>
      </c>
      <c r="W471" s="32" t="s">
        <v>42</v>
      </c>
      <c r="X471" s="106" t="s">
        <v>23</v>
      </c>
      <c r="Y471" s="106" t="s">
        <v>23</v>
      </c>
      <c r="Z471" s="106" t="s">
        <v>27</v>
      </c>
      <c r="AA471" s="106"/>
    </row>
    <row r="472" spans="2:27" s="38" customFormat="1" x14ac:dyDescent="0.25">
      <c r="B472" s="174"/>
      <c r="C472" s="174" t="str">
        <f>TEXT(data[[#This Row],[Fecha de Envío
Cotización]],"MMMM")</f>
        <v>febrero</v>
      </c>
      <c r="D472" s="174">
        <v>44237</v>
      </c>
      <c r="E472" s="174" t="str">
        <f>IF(data[[#This Row],[Estatus de 
Cotización]]="PERDIDO","N/A","")</f>
        <v>N/A</v>
      </c>
      <c r="F472" s="174"/>
      <c r="G472" s="109"/>
      <c r="H472" s="174"/>
      <c r="I472" s="86">
        <v>511438</v>
      </c>
      <c r="J472" s="87">
        <v>20026</v>
      </c>
      <c r="K472" s="24" t="s">
        <v>1020</v>
      </c>
      <c r="L472" s="106"/>
      <c r="M472" s="105" t="s">
        <v>1022</v>
      </c>
      <c r="N472" s="106">
        <v>25</v>
      </c>
      <c r="O472" s="107"/>
      <c r="P472" s="107">
        <v>19.25</v>
      </c>
      <c r="Q472" s="28">
        <f>data[[#This Row],[Costo Producto
Proveedor ($/Unid)]]*data[[#This Row],[Cantidad]]</f>
        <v>0</v>
      </c>
      <c r="R472" s="28">
        <f>data[[#This Row],[Cantidad]]*data[[#This Row],[Precio de Venta Cliente ($/Unid)]]</f>
        <v>481.25</v>
      </c>
      <c r="S472" s="29"/>
      <c r="T472" s="106" t="s">
        <v>15</v>
      </c>
      <c r="U472" s="106"/>
      <c r="V472" s="30" t="s">
        <v>42</v>
      </c>
      <c r="W472" s="32" t="s">
        <v>42</v>
      </c>
      <c r="X472" s="106" t="s">
        <v>23</v>
      </c>
      <c r="Y472" s="106" t="s">
        <v>23</v>
      </c>
      <c r="Z472" s="106" t="s">
        <v>27</v>
      </c>
      <c r="AA472" s="106"/>
    </row>
    <row r="473" spans="2:27" s="38" customFormat="1" ht="15.75" x14ac:dyDescent="0.25">
      <c r="B473" s="174"/>
      <c r="C473" s="174" t="str">
        <f>TEXT(data[[#This Row],[Fecha de Envío
Cotización]],"MMMM")</f>
        <v>febrero</v>
      </c>
      <c r="D473" s="174">
        <v>44237</v>
      </c>
      <c r="E473" s="44" t="str">
        <f>IF(data[[#This Row],[Estatus de 
Cotización]]="PERDIDO","N/A","")</f>
        <v>N/A</v>
      </c>
      <c r="F473" s="174"/>
      <c r="G473" s="109"/>
      <c r="H473" s="174"/>
      <c r="I473" s="86">
        <v>511439</v>
      </c>
      <c r="J473" s="87">
        <v>20555</v>
      </c>
      <c r="K473" s="24" t="s">
        <v>329</v>
      </c>
      <c r="L473" s="106"/>
      <c r="M473" s="105" t="s">
        <v>1031</v>
      </c>
      <c r="N473" s="106">
        <v>16</v>
      </c>
      <c r="O473" s="107"/>
      <c r="P473" s="107">
        <v>30.25</v>
      </c>
      <c r="Q473" s="28">
        <f>data[[#This Row],[Costo Producto
Proveedor ($/Unid)]]*data[[#This Row],[Cantidad]]</f>
        <v>0</v>
      </c>
      <c r="R473" s="28">
        <f>data[[#This Row],[Cantidad]]*data[[#This Row],[Precio de Venta Cliente ($/Unid)]]</f>
        <v>484</v>
      </c>
      <c r="S473" s="29"/>
      <c r="T473" s="106" t="s">
        <v>36</v>
      </c>
      <c r="U473" s="106"/>
      <c r="V473" s="30" t="s">
        <v>42</v>
      </c>
      <c r="W473" s="32" t="s">
        <v>42</v>
      </c>
      <c r="X473" s="106" t="s">
        <v>23</v>
      </c>
      <c r="Y473" s="106" t="s">
        <v>23</v>
      </c>
      <c r="Z473" s="106" t="s">
        <v>27</v>
      </c>
      <c r="AA473" s="5"/>
    </row>
    <row r="474" spans="2:27" s="38" customFormat="1" ht="15.75" x14ac:dyDescent="0.25">
      <c r="B474" s="35"/>
      <c r="C474" s="174" t="str">
        <f>TEXT(data[[#This Row],[Fecha de Envío
Cotización]],"MMMM")</f>
        <v>febrero</v>
      </c>
      <c r="D474" s="35">
        <v>44237</v>
      </c>
      <c r="E474" s="44" t="str">
        <f>IF(data[[#This Row],[Estatus de 
Cotización]]="PERDIDO","N/A","")</f>
        <v>N/A</v>
      </c>
      <c r="F474" s="35"/>
      <c r="G474" s="109"/>
      <c r="H474" s="35"/>
      <c r="I474" s="86">
        <v>511440</v>
      </c>
      <c r="J474" s="87">
        <v>20555</v>
      </c>
      <c r="K474" s="24" t="s">
        <v>329</v>
      </c>
      <c r="L474" s="39"/>
      <c r="M474" s="105" t="s">
        <v>1032</v>
      </c>
      <c r="N474" s="39">
        <v>16</v>
      </c>
      <c r="O474" s="40"/>
      <c r="P474" s="107">
        <v>55.58</v>
      </c>
      <c r="Q474" s="28">
        <f>data[[#This Row],[Costo Producto
Proveedor ($/Unid)]]*data[[#This Row],[Cantidad]]</f>
        <v>0</v>
      </c>
      <c r="R474" s="28">
        <f>data[[#This Row],[Cantidad]]*data[[#This Row],[Precio de Venta Cliente ($/Unid)]]</f>
        <v>889.28</v>
      </c>
      <c r="S474" s="29"/>
      <c r="T474" s="39" t="s">
        <v>36</v>
      </c>
      <c r="U474" s="39"/>
      <c r="V474" s="30" t="s">
        <v>42</v>
      </c>
      <c r="W474" s="32" t="s">
        <v>42</v>
      </c>
      <c r="X474" s="39" t="s">
        <v>23</v>
      </c>
      <c r="Y474" s="39" t="s">
        <v>23</v>
      </c>
      <c r="Z474" s="39" t="s">
        <v>27</v>
      </c>
      <c r="AA474" s="5"/>
    </row>
    <row r="475" spans="2:27" s="38" customFormat="1" ht="15.75" x14ac:dyDescent="0.25">
      <c r="B475" s="35"/>
      <c r="C475" s="174" t="str">
        <f>TEXT(data[[#This Row],[Fecha de Envío
Cotización]],"MMMM")</f>
        <v>febrero</v>
      </c>
      <c r="D475" s="35">
        <v>44237</v>
      </c>
      <c r="E475" s="174" t="str">
        <f>IF(data[[#This Row],[Estatus de 
Cotización]]="PERDIDO","N/A","")</f>
        <v>N/A</v>
      </c>
      <c r="F475" s="35"/>
      <c r="G475" s="109"/>
      <c r="H475" s="35"/>
      <c r="I475" s="86">
        <v>511441</v>
      </c>
      <c r="J475" s="87">
        <v>20555</v>
      </c>
      <c r="K475" s="24" t="s">
        <v>329</v>
      </c>
      <c r="L475" s="39"/>
      <c r="M475" s="105" t="s">
        <v>1033</v>
      </c>
      <c r="N475" s="39">
        <v>20</v>
      </c>
      <c r="O475" s="40"/>
      <c r="P475" s="107">
        <v>1.9</v>
      </c>
      <c r="Q475" s="28">
        <f>data[[#This Row],[Costo Producto
Proveedor ($/Unid)]]*data[[#This Row],[Cantidad]]</f>
        <v>0</v>
      </c>
      <c r="R475" s="28">
        <f>data[[#This Row],[Cantidad]]*data[[#This Row],[Precio de Venta Cliente ($/Unid)]]</f>
        <v>38</v>
      </c>
      <c r="S475" s="29"/>
      <c r="T475" s="39" t="s">
        <v>36</v>
      </c>
      <c r="U475" s="39"/>
      <c r="V475" s="30" t="s">
        <v>42</v>
      </c>
      <c r="W475" s="32" t="s">
        <v>42</v>
      </c>
      <c r="X475" s="39" t="s">
        <v>23</v>
      </c>
      <c r="Y475" s="39" t="s">
        <v>23</v>
      </c>
      <c r="Z475" s="39" t="s">
        <v>27</v>
      </c>
      <c r="AA475" s="5"/>
    </row>
    <row r="476" spans="2:27" s="38" customFormat="1" ht="15.75" x14ac:dyDescent="0.25">
      <c r="B476" s="35"/>
      <c r="C476" s="174" t="str">
        <f>TEXT(data[[#This Row],[Fecha de Envío
Cotización]],"MMMM")</f>
        <v>febrero</v>
      </c>
      <c r="D476" s="35">
        <v>44237</v>
      </c>
      <c r="E476" s="174" t="str">
        <f>IF(data[[#This Row],[Estatus de 
Cotización]]="PERDIDO","N/A","")</f>
        <v>N/A</v>
      </c>
      <c r="F476" s="35"/>
      <c r="G476" s="109"/>
      <c r="H476" s="35"/>
      <c r="I476" s="86">
        <v>511442</v>
      </c>
      <c r="J476" s="87">
        <v>20555</v>
      </c>
      <c r="K476" s="24" t="s">
        <v>329</v>
      </c>
      <c r="L476" s="39"/>
      <c r="M476" s="105" t="s">
        <v>1034</v>
      </c>
      <c r="N476" s="39">
        <v>20</v>
      </c>
      <c r="O476" s="40"/>
      <c r="P476" s="107">
        <v>1.88</v>
      </c>
      <c r="Q476" s="28">
        <f>data[[#This Row],[Costo Producto
Proveedor ($/Unid)]]*data[[#This Row],[Cantidad]]</f>
        <v>0</v>
      </c>
      <c r="R476" s="28">
        <f>data[[#This Row],[Cantidad]]*data[[#This Row],[Precio de Venta Cliente ($/Unid)]]</f>
        <v>37.599999999999994</v>
      </c>
      <c r="S476" s="29"/>
      <c r="T476" s="39" t="s">
        <v>36</v>
      </c>
      <c r="U476" s="39"/>
      <c r="V476" s="30" t="s">
        <v>42</v>
      </c>
      <c r="W476" s="32" t="s">
        <v>42</v>
      </c>
      <c r="X476" s="39" t="s">
        <v>23</v>
      </c>
      <c r="Y476" s="39" t="s">
        <v>23</v>
      </c>
      <c r="Z476" s="39" t="s">
        <v>27</v>
      </c>
      <c r="AA476" s="5"/>
    </row>
    <row r="477" spans="2:27" s="38" customFormat="1" ht="15.75" x14ac:dyDescent="0.25">
      <c r="B477" s="35"/>
      <c r="C477" s="174" t="str">
        <f>TEXT(data[[#This Row],[Fecha de Envío
Cotización]],"MMMM")</f>
        <v>febrero</v>
      </c>
      <c r="D477" s="35">
        <v>44237</v>
      </c>
      <c r="E477" s="174" t="str">
        <f>IF(data[[#This Row],[Estatus de 
Cotización]]="PERDIDO","N/A","")</f>
        <v>N/A</v>
      </c>
      <c r="F477" s="35"/>
      <c r="G477" s="109"/>
      <c r="H477" s="35"/>
      <c r="I477" s="86">
        <v>511443</v>
      </c>
      <c r="J477" s="87">
        <v>20555</v>
      </c>
      <c r="K477" s="24" t="s">
        <v>329</v>
      </c>
      <c r="L477" s="39"/>
      <c r="M477" s="105" t="s">
        <v>1035</v>
      </c>
      <c r="N477" s="39">
        <v>32</v>
      </c>
      <c r="O477" s="40"/>
      <c r="P477" s="107">
        <v>3.45</v>
      </c>
      <c r="Q477" s="28">
        <f>data[[#This Row],[Costo Producto
Proveedor ($/Unid)]]*data[[#This Row],[Cantidad]]</f>
        <v>0</v>
      </c>
      <c r="R477" s="28">
        <f>data[[#This Row],[Cantidad]]*data[[#This Row],[Precio de Venta Cliente ($/Unid)]]</f>
        <v>110.4</v>
      </c>
      <c r="S477" s="29"/>
      <c r="T477" s="39" t="s">
        <v>36</v>
      </c>
      <c r="U477" s="39"/>
      <c r="V477" s="30" t="s">
        <v>42</v>
      </c>
      <c r="W477" s="32" t="s">
        <v>42</v>
      </c>
      <c r="X477" s="39" t="s">
        <v>23</v>
      </c>
      <c r="Y477" s="39" t="s">
        <v>23</v>
      </c>
      <c r="Z477" s="39" t="s">
        <v>27</v>
      </c>
      <c r="AA477" s="5"/>
    </row>
    <row r="478" spans="2:27" s="38" customFormat="1" ht="15.75" x14ac:dyDescent="0.25">
      <c r="B478" s="35"/>
      <c r="C478" s="174" t="str">
        <f>TEXT(data[[#This Row],[Fecha de Envío
Cotización]],"MMMM")</f>
        <v>febrero</v>
      </c>
      <c r="D478" s="35">
        <v>44237</v>
      </c>
      <c r="E478" s="35" t="str">
        <f>IF(data[[#This Row],[Estatus de 
Cotización]]="PERDIDO","N/A","")</f>
        <v>N/A</v>
      </c>
      <c r="F478" s="35"/>
      <c r="G478" s="109"/>
      <c r="H478" s="35"/>
      <c r="I478" s="86">
        <v>511444</v>
      </c>
      <c r="J478" s="87">
        <v>20555</v>
      </c>
      <c r="K478" s="24" t="s">
        <v>329</v>
      </c>
      <c r="L478" s="39"/>
      <c r="M478" s="105" t="s">
        <v>1036</v>
      </c>
      <c r="N478" s="39">
        <v>32</v>
      </c>
      <c r="O478" s="40"/>
      <c r="P478" s="107">
        <v>4.1500000000000004</v>
      </c>
      <c r="Q478" s="28">
        <f>data[[#This Row],[Costo Producto
Proveedor ($/Unid)]]*data[[#This Row],[Cantidad]]</f>
        <v>0</v>
      </c>
      <c r="R478" s="28">
        <f>data[[#This Row],[Cantidad]]*data[[#This Row],[Precio de Venta Cliente ($/Unid)]]</f>
        <v>132.80000000000001</v>
      </c>
      <c r="S478" s="29"/>
      <c r="T478" s="106" t="s">
        <v>36</v>
      </c>
      <c r="U478" s="39"/>
      <c r="V478" s="30" t="s">
        <v>42</v>
      </c>
      <c r="W478" s="32" t="s">
        <v>42</v>
      </c>
      <c r="X478" s="39" t="s">
        <v>23</v>
      </c>
      <c r="Y478" s="39" t="s">
        <v>23</v>
      </c>
      <c r="Z478" s="39" t="s">
        <v>27</v>
      </c>
      <c r="AA478" s="5"/>
    </row>
    <row r="479" spans="2:27" ht="15.75" x14ac:dyDescent="0.25">
      <c r="B479" s="174"/>
      <c r="C479" s="174" t="str">
        <f>TEXT(data[[#This Row],[Fecha de Envío
Cotización]],"MMMM")</f>
        <v>febrero</v>
      </c>
      <c r="D479" s="174">
        <v>44237</v>
      </c>
      <c r="E479" s="174" t="str">
        <f>IF(data[[#This Row],[Estatus de 
Cotización]]="PERDIDO","N/A","")</f>
        <v>N/A</v>
      </c>
      <c r="F479" s="174"/>
      <c r="G479" s="109"/>
      <c r="H479" s="174"/>
      <c r="I479" s="86">
        <v>511445</v>
      </c>
      <c r="J479" s="87">
        <v>20555</v>
      </c>
      <c r="K479" s="24" t="s">
        <v>329</v>
      </c>
      <c r="L479" s="106"/>
      <c r="M479" s="105" t="s">
        <v>1037</v>
      </c>
      <c r="N479" s="106">
        <v>12</v>
      </c>
      <c r="O479" s="107"/>
      <c r="P479" s="107">
        <v>5.18</v>
      </c>
      <c r="Q479" s="28">
        <f>data[[#This Row],[Costo Producto
Proveedor ($/Unid)]]*data[[#This Row],[Cantidad]]</f>
        <v>0</v>
      </c>
      <c r="R479" s="28">
        <f>data[[#This Row],[Cantidad]]*data[[#This Row],[Precio de Venta Cliente ($/Unid)]]</f>
        <v>62.16</v>
      </c>
      <c r="S479" s="29"/>
      <c r="T479" s="106" t="s">
        <v>36</v>
      </c>
      <c r="U479" s="106"/>
      <c r="V479" s="30" t="s">
        <v>42</v>
      </c>
      <c r="W479" s="32" t="s">
        <v>42</v>
      </c>
      <c r="X479" s="106" t="s">
        <v>23</v>
      </c>
      <c r="Y479" s="106" t="s">
        <v>23</v>
      </c>
      <c r="Z479" s="106" t="s">
        <v>27</v>
      </c>
      <c r="AA479" s="5"/>
    </row>
    <row r="480" spans="2:27" ht="15.75" x14ac:dyDescent="0.25">
      <c r="B480" s="174"/>
      <c r="C480" s="174" t="str">
        <f>TEXT(data[[#This Row],[Fecha de Envío
Cotización]],"MMMM")</f>
        <v>febrero</v>
      </c>
      <c r="D480" s="174">
        <v>44237</v>
      </c>
      <c r="E480" s="174" t="str">
        <f>IF(data[[#This Row],[Estatus de 
Cotización]]="PERDIDO","N/A","")</f>
        <v>N/A</v>
      </c>
      <c r="F480" s="174"/>
      <c r="G480" s="109"/>
      <c r="H480" s="174"/>
      <c r="I480" s="86">
        <v>511446</v>
      </c>
      <c r="J480" s="87">
        <v>20555</v>
      </c>
      <c r="K480" s="24" t="s">
        <v>329</v>
      </c>
      <c r="L480" s="106"/>
      <c r="M480" s="105" t="s">
        <v>1038</v>
      </c>
      <c r="N480" s="106">
        <v>32</v>
      </c>
      <c r="O480" s="107"/>
      <c r="P480" s="107">
        <v>90.76</v>
      </c>
      <c r="Q480" s="28">
        <f>data[[#This Row],[Costo Producto
Proveedor ($/Unid)]]*data[[#This Row],[Cantidad]]</f>
        <v>0</v>
      </c>
      <c r="R480" s="28">
        <f>data[[#This Row],[Cantidad]]*data[[#This Row],[Precio de Venta Cliente ($/Unid)]]</f>
        <v>2904.32</v>
      </c>
      <c r="S480" s="29"/>
      <c r="T480" s="106" t="s">
        <v>36</v>
      </c>
      <c r="U480" s="106"/>
      <c r="V480" s="30" t="s">
        <v>42</v>
      </c>
      <c r="W480" s="32" t="s">
        <v>42</v>
      </c>
      <c r="X480" s="106" t="s">
        <v>23</v>
      </c>
      <c r="Y480" s="106" t="s">
        <v>23</v>
      </c>
      <c r="Z480" s="106" t="s">
        <v>27</v>
      </c>
      <c r="AA480" s="5"/>
    </row>
    <row r="481" spans="2:27" ht="15.75" x14ac:dyDescent="0.25">
      <c r="B481" s="174"/>
      <c r="C481" s="174" t="str">
        <f>TEXT(data[[#This Row],[Fecha de Envío
Cotización]],"MMMM")</f>
        <v>febrero</v>
      </c>
      <c r="D481" s="174">
        <v>44237</v>
      </c>
      <c r="E481" s="174" t="str">
        <f>IF(data[[#This Row],[Estatus de 
Cotización]]="PERDIDO","N/A","")</f>
        <v>N/A</v>
      </c>
      <c r="F481" s="174"/>
      <c r="G481" s="109"/>
      <c r="H481" s="174"/>
      <c r="I481" s="86">
        <v>511447</v>
      </c>
      <c r="J481" s="87">
        <v>20555</v>
      </c>
      <c r="K481" s="24" t="s">
        <v>329</v>
      </c>
      <c r="L481" s="106"/>
      <c r="M481" s="105" t="s">
        <v>1039</v>
      </c>
      <c r="N481" s="106">
        <v>12</v>
      </c>
      <c r="O481" s="107"/>
      <c r="P481" s="107">
        <v>127.34</v>
      </c>
      <c r="Q481" s="28">
        <f>data[[#This Row],[Costo Producto
Proveedor ($/Unid)]]*data[[#This Row],[Cantidad]]</f>
        <v>0</v>
      </c>
      <c r="R481" s="28">
        <f>data[[#This Row],[Cantidad]]*data[[#This Row],[Precio de Venta Cliente ($/Unid)]]</f>
        <v>1528.08</v>
      </c>
      <c r="S481" s="29"/>
      <c r="T481" s="106" t="s">
        <v>36</v>
      </c>
      <c r="U481" s="106"/>
      <c r="V481" s="30" t="s">
        <v>42</v>
      </c>
      <c r="W481" s="32" t="s">
        <v>42</v>
      </c>
      <c r="X481" s="106" t="s">
        <v>23</v>
      </c>
      <c r="Y481" s="106" t="s">
        <v>23</v>
      </c>
      <c r="Z481" s="106" t="s">
        <v>27</v>
      </c>
      <c r="AA481" s="5"/>
    </row>
    <row r="482" spans="2:27" ht="15.75" x14ac:dyDescent="0.25">
      <c r="B482" s="174"/>
      <c r="C482" s="174" t="str">
        <f>TEXT(data[[#This Row],[Fecha de Envío
Cotización]],"MMMM")</f>
        <v>febrero</v>
      </c>
      <c r="D482" s="174">
        <v>44237</v>
      </c>
      <c r="E482" s="174" t="str">
        <f>IF(data[[#This Row],[Estatus de 
Cotización]]="PERDIDO","N/A","")</f>
        <v>N/A</v>
      </c>
      <c r="F482" s="174"/>
      <c r="G482" s="109"/>
      <c r="H482" s="174"/>
      <c r="I482" s="86">
        <v>511448</v>
      </c>
      <c r="J482" s="87">
        <v>20555</v>
      </c>
      <c r="K482" s="24" t="s">
        <v>329</v>
      </c>
      <c r="L482" s="106"/>
      <c r="M482" s="105" t="s">
        <v>1040</v>
      </c>
      <c r="N482" s="106">
        <v>12</v>
      </c>
      <c r="O482" s="107"/>
      <c r="P482" s="107">
        <v>141.27000000000001</v>
      </c>
      <c r="Q482" s="28">
        <f>data[[#This Row],[Costo Producto
Proveedor ($/Unid)]]*data[[#This Row],[Cantidad]]</f>
        <v>0</v>
      </c>
      <c r="R482" s="28">
        <f>data[[#This Row],[Cantidad]]*data[[#This Row],[Precio de Venta Cliente ($/Unid)]]</f>
        <v>1695.2400000000002</v>
      </c>
      <c r="S482" s="29"/>
      <c r="T482" s="106" t="s">
        <v>36</v>
      </c>
      <c r="U482" s="106"/>
      <c r="V482" s="30" t="s">
        <v>42</v>
      </c>
      <c r="W482" s="32" t="s">
        <v>42</v>
      </c>
      <c r="X482" s="106" t="s">
        <v>23</v>
      </c>
      <c r="Y482" s="106" t="s">
        <v>23</v>
      </c>
      <c r="Z482" s="106" t="s">
        <v>27</v>
      </c>
      <c r="AA482" s="5"/>
    </row>
    <row r="483" spans="2:27" ht="15.75" x14ac:dyDescent="0.25">
      <c r="B483" s="174"/>
      <c r="C483" s="174" t="str">
        <f>TEXT(data[[#This Row],[Fecha de Envío
Cotización]],"MMMM")</f>
        <v>febrero</v>
      </c>
      <c r="D483" s="174">
        <v>44237</v>
      </c>
      <c r="E483" s="174" t="str">
        <f>IF(data[[#This Row],[Estatus de 
Cotización]]="PERDIDO","N/A","")</f>
        <v>N/A</v>
      </c>
      <c r="F483" s="174"/>
      <c r="G483" s="109"/>
      <c r="H483" s="174"/>
      <c r="I483" s="86">
        <v>511449</v>
      </c>
      <c r="J483" s="87">
        <v>20555</v>
      </c>
      <c r="K483" s="24" t="s">
        <v>329</v>
      </c>
      <c r="L483" s="106"/>
      <c r="M483" s="105" t="s">
        <v>1041</v>
      </c>
      <c r="N483" s="106">
        <v>20</v>
      </c>
      <c r="O483" s="107"/>
      <c r="P483" s="107">
        <v>28.25</v>
      </c>
      <c r="Q483" s="28">
        <f>data[[#This Row],[Costo Producto
Proveedor ($/Unid)]]*data[[#This Row],[Cantidad]]</f>
        <v>0</v>
      </c>
      <c r="R483" s="28">
        <f>data[[#This Row],[Cantidad]]*data[[#This Row],[Precio de Venta Cliente ($/Unid)]]</f>
        <v>565</v>
      </c>
      <c r="S483" s="29"/>
      <c r="T483" s="106" t="s">
        <v>36</v>
      </c>
      <c r="U483" s="106"/>
      <c r="V483" s="30" t="s">
        <v>42</v>
      </c>
      <c r="W483" s="32" t="s">
        <v>42</v>
      </c>
      <c r="X483" s="106" t="s">
        <v>23</v>
      </c>
      <c r="Y483" s="106" t="s">
        <v>23</v>
      </c>
      <c r="Z483" s="106" t="s">
        <v>27</v>
      </c>
      <c r="AA483" s="5"/>
    </row>
    <row r="484" spans="2:27" ht="15.75" x14ac:dyDescent="0.25">
      <c r="B484" s="174"/>
      <c r="C484" s="174" t="str">
        <f>TEXT(data[[#This Row],[Fecha de Envío
Cotización]],"MMMM")</f>
        <v>febrero</v>
      </c>
      <c r="D484" s="174">
        <v>44237</v>
      </c>
      <c r="E484" s="174" t="str">
        <f>IF(data[[#This Row],[Estatus de 
Cotización]]="PERDIDO","N/A","")</f>
        <v>N/A</v>
      </c>
      <c r="F484" s="174"/>
      <c r="G484" s="109"/>
      <c r="H484" s="174"/>
      <c r="I484" s="86">
        <v>511450</v>
      </c>
      <c r="J484" s="87">
        <v>20555</v>
      </c>
      <c r="K484" s="24" t="s">
        <v>329</v>
      </c>
      <c r="L484" s="106"/>
      <c r="M484" s="105" t="s">
        <v>1042</v>
      </c>
      <c r="N484" s="106">
        <v>20</v>
      </c>
      <c r="O484" s="107"/>
      <c r="P484" s="107">
        <v>19</v>
      </c>
      <c r="Q484" s="28">
        <f>data[[#This Row],[Costo Producto
Proveedor ($/Unid)]]*data[[#This Row],[Cantidad]]</f>
        <v>0</v>
      </c>
      <c r="R484" s="28">
        <f>data[[#This Row],[Cantidad]]*data[[#This Row],[Precio de Venta Cliente ($/Unid)]]</f>
        <v>380</v>
      </c>
      <c r="S484" s="29"/>
      <c r="T484" s="106" t="s">
        <v>36</v>
      </c>
      <c r="U484" s="106"/>
      <c r="V484" s="30" t="s">
        <v>42</v>
      </c>
      <c r="W484" s="32" t="s">
        <v>42</v>
      </c>
      <c r="X484" s="106" t="s">
        <v>23</v>
      </c>
      <c r="Y484" s="106" t="s">
        <v>23</v>
      </c>
      <c r="Z484" s="106" t="s">
        <v>27</v>
      </c>
      <c r="AA484" s="5"/>
    </row>
    <row r="485" spans="2:27" ht="15.75" x14ac:dyDescent="0.25">
      <c r="B485" s="174"/>
      <c r="C485" s="174" t="str">
        <f>TEXT(data[[#This Row],[Fecha de Envío
Cotización]],"MMMM")</f>
        <v>febrero</v>
      </c>
      <c r="D485" s="174">
        <v>44237</v>
      </c>
      <c r="E485" s="174" t="str">
        <f>IF(data[[#This Row],[Estatus de 
Cotización]]="PERDIDO","N/A","")</f>
        <v>N/A</v>
      </c>
      <c r="F485" s="174"/>
      <c r="G485" s="109"/>
      <c r="H485" s="174"/>
      <c r="I485" s="86">
        <v>511451</v>
      </c>
      <c r="J485" s="87">
        <v>20555</v>
      </c>
      <c r="K485" s="24" t="s">
        <v>329</v>
      </c>
      <c r="L485" s="106"/>
      <c r="M485" s="105" t="s">
        <v>1043</v>
      </c>
      <c r="N485" s="106">
        <v>50</v>
      </c>
      <c r="O485" s="107"/>
      <c r="P485" s="107">
        <v>8.4700000000000006</v>
      </c>
      <c r="Q485" s="28">
        <f>data[[#This Row],[Costo Producto
Proveedor ($/Unid)]]*data[[#This Row],[Cantidad]]</f>
        <v>0</v>
      </c>
      <c r="R485" s="28">
        <f>data[[#This Row],[Cantidad]]*data[[#This Row],[Precio de Venta Cliente ($/Unid)]]</f>
        <v>423.50000000000006</v>
      </c>
      <c r="S485" s="29"/>
      <c r="T485" s="106" t="s">
        <v>36</v>
      </c>
      <c r="U485" s="106"/>
      <c r="V485" s="30" t="s">
        <v>42</v>
      </c>
      <c r="W485" s="32" t="s">
        <v>42</v>
      </c>
      <c r="X485" s="106" t="s">
        <v>23</v>
      </c>
      <c r="Y485" s="106" t="s">
        <v>23</v>
      </c>
      <c r="Z485" s="106" t="s">
        <v>27</v>
      </c>
      <c r="AA485" s="5"/>
    </row>
    <row r="486" spans="2:27" ht="15.75" x14ac:dyDescent="0.25">
      <c r="B486" s="174"/>
      <c r="C486" s="174" t="str">
        <f>TEXT(data[[#This Row],[Fecha de Envío
Cotización]],"MMMM")</f>
        <v>febrero</v>
      </c>
      <c r="D486" s="174">
        <v>44237</v>
      </c>
      <c r="E486" s="174" t="str">
        <f>IF(data[[#This Row],[Estatus de 
Cotización]]="PERDIDO","N/A","")</f>
        <v>N/A</v>
      </c>
      <c r="F486" s="174"/>
      <c r="G486" s="109"/>
      <c r="H486" s="174"/>
      <c r="I486" s="86">
        <v>511452</v>
      </c>
      <c r="J486" s="87">
        <v>20555</v>
      </c>
      <c r="K486" s="24" t="s">
        <v>329</v>
      </c>
      <c r="L486" s="106"/>
      <c r="M486" s="105" t="s">
        <v>1044</v>
      </c>
      <c r="N486" s="106">
        <v>15</v>
      </c>
      <c r="O486" s="107"/>
      <c r="P486" s="107">
        <v>27.79</v>
      </c>
      <c r="Q486" s="28">
        <f>data[[#This Row],[Costo Producto
Proveedor ($/Unid)]]*data[[#This Row],[Cantidad]]</f>
        <v>0</v>
      </c>
      <c r="R486" s="28">
        <f>data[[#This Row],[Cantidad]]*data[[#This Row],[Precio de Venta Cliente ($/Unid)]]</f>
        <v>416.84999999999997</v>
      </c>
      <c r="S486" s="29"/>
      <c r="T486" s="106" t="s">
        <v>36</v>
      </c>
      <c r="U486" s="106"/>
      <c r="V486" s="30" t="s">
        <v>42</v>
      </c>
      <c r="W486" s="32" t="s">
        <v>42</v>
      </c>
      <c r="X486" s="106" t="s">
        <v>23</v>
      </c>
      <c r="Y486" s="106" t="s">
        <v>23</v>
      </c>
      <c r="Z486" s="106" t="s">
        <v>27</v>
      </c>
      <c r="AA486" s="5"/>
    </row>
    <row r="487" spans="2:27" ht="15.75" x14ac:dyDescent="0.25">
      <c r="B487" s="23"/>
      <c r="C487" s="174" t="str">
        <f>TEXT(data[[#This Row],[Fecha de Envío
Cotización]],"MMMM")</f>
        <v>febrero</v>
      </c>
      <c r="D487" s="23">
        <v>44237</v>
      </c>
      <c r="E487" s="174" t="str">
        <f>IF(data[[#This Row],[Estatus de 
Cotización]]="PERDIDO","N/A","")</f>
        <v>N/A</v>
      </c>
      <c r="F487" s="23"/>
      <c r="G487" s="109"/>
      <c r="H487" s="23"/>
      <c r="I487" s="86">
        <v>511453</v>
      </c>
      <c r="J487" s="87">
        <v>20555</v>
      </c>
      <c r="K487" s="24" t="s">
        <v>329</v>
      </c>
      <c r="L487" s="22"/>
      <c r="M487" s="105" t="s">
        <v>1045</v>
      </c>
      <c r="N487" s="22">
        <v>15</v>
      </c>
      <c r="O487" s="26"/>
      <c r="P487" s="107">
        <v>35.21</v>
      </c>
      <c r="Q487" s="28">
        <f>data[[#This Row],[Costo Producto
Proveedor ($/Unid)]]*data[[#This Row],[Cantidad]]</f>
        <v>0</v>
      </c>
      <c r="R487" s="28">
        <f>data[[#This Row],[Cantidad]]*data[[#This Row],[Precio de Venta Cliente ($/Unid)]]</f>
        <v>528.15</v>
      </c>
      <c r="S487" s="29"/>
      <c r="T487" s="106" t="s">
        <v>36</v>
      </c>
      <c r="U487" s="106"/>
      <c r="V487" s="30" t="s">
        <v>42</v>
      </c>
      <c r="W487" s="32" t="s">
        <v>42</v>
      </c>
      <c r="X487" s="22" t="s">
        <v>23</v>
      </c>
      <c r="Y487" s="22" t="s">
        <v>23</v>
      </c>
      <c r="Z487" s="22" t="s">
        <v>27</v>
      </c>
      <c r="AA487" s="5"/>
    </row>
    <row r="488" spans="2:27" ht="15.75" x14ac:dyDescent="0.25">
      <c r="B488" s="174"/>
      <c r="C488" s="174" t="str">
        <f>TEXT(data[[#This Row],[Fecha de Envío
Cotización]],"MMMM")</f>
        <v>febrero</v>
      </c>
      <c r="D488" s="174">
        <v>44237</v>
      </c>
      <c r="E488" s="174" t="str">
        <f>IF(data[[#This Row],[Estatus de 
Cotización]]="PERDIDO","N/A","")</f>
        <v>N/A</v>
      </c>
      <c r="F488" s="174"/>
      <c r="G488" s="109"/>
      <c r="H488" s="174"/>
      <c r="I488" s="86">
        <v>511454</v>
      </c>
      <c r="J488" s="87">
        <v>20030</v>
      </c>
      <c r="K488" s="24" t="s">
        <v>1048</v>
      </c>
      <c r="L488" s="106"/>
      <c r="M488" s="105" t="s">
        <v>1046</v>
      </c>
      <c r="N488" s="106">
        <v>2</v>
      </c>
      <c r="O488" s="107"/>
      <c r="P488" s="107">
        <v>748.17</v>
      </c>
      <c r="Q488" s="28">
        <f>data[[#This Row],[Costo Producto
Proveedor ($/Unid)]]*data[[#This Row],[Cantidad]]</f>
        <v>0</v>
      </c>
      <c r="R488" s="28">
        <f>data[[#This Row],[Cantidad]]*data[[#This Row],[Precio de Venta Cliente ($/Unid)]]</f>
        <v>1496.34</v>
      </c>
      <c r="S488" s="29"/>
      <c r="T488" s="106" t="s">
        <v>77</v>
      </c>
      <c r="U488" s="106"/>
      <c r="V488" s="30" t="s">
        <v>42</v>
      </c>
      <c r="W488" s="32" t="s">
        <v>42</v>
      </c>
      <c r="X488" s="106" t="s">
        <v>23</v>
      </c>
      <c r="Y488" s="106" t="s">
        <v>23</v>
      </c>
      <c r="Z488" s="106" t="s">
        <v>27</v>
      </c>
      <c r="AA488" s="5"/>
    </row>
    <row r="489" spans="2:27" ht="15.75" x14ac:dyDescent="0.25">
      <c r="B489" s="174"/>
      <c r="C489" s="174" t="str">
        <f>TEXT(data[[#This Row],[Fecha de Envío
Cotización]],"MMMM")</f>
        <v>febrero</v>
      </c>
      <c r="D489" s="174">
        <v>44237</v>
      </c>
      <c r="E489" s="174" t="str">
        <f>IF(data[[#This Row],[Estatus de 
Cotización]]="PERDIDO","N/A","")</f>
        <v>N/A</v>
      </c>
      <c r="F489" s="174"/>
      <c r="G489" s="109"/>
      <c r="H489" s="174"/>
      <c r="I489" s="86">
        <v>511455</v>
      </c>
      <c r="J489" s="87">
        <v>20030</v>
      </c>
      <c r="K489" s="24" t="s">
        <v>1048</v>
      </c>
      <c r="L489" s="106"/>
      <c r="M489" s="105" t="s">
        <v>1047</v>
      </c>
      <c r="N489" s="106">
        <v>2</v>
      </c>
      <c r="O489" s="107"/>
      <c r="P489" s="107">
        <v>1022.82</v>
      </c>
      <c r="Q489" s="28">
        <f>data[[#This Row],[Costo Producto
Proveedor ($/Unid)]]*data[[#This Row],[Cantidad]]</f>
        <v>0</v>
      </c>
      <c r="R489" s="28">
        <f>data[[#This Row],[Cantidad]]*data[[#This Row],[Precio de Venta Cliente ($/Unid)]]</f>
        <v>2045.64</v>
      </c>
      <c r="S489" s="29"/>
      <c r="T489" s="106" t="s">
        <v>77</v>
      </c>
      <c r="U489" s="106"/>
      <c r="V489" s="30" t="s">
        <v>42</v>
      </c>
      <c r="W489" s="32" t="s">
        <v>42</v>
      </c>
      <c r="X489" s="106" t="s">
        <v>23</v>
      </c>
      <c r="Y489" s="106" t="s">
        <v>23</v>
      </c>
      <c r="Z489" s="106" t="s">
        <v>27</v>
      </c>
      <c r="AA489" s="5"/>
    </row>
    <row r="490" spans="2:27" ht="15.75" x14ac:dyDescent="0.25">
      <c r="B490" s="174"/>
      <c r="C490" s="174" t="str">
        <f>TEXT(data[[#This Row],[Fecha de Envío
Cotización]],"MMMM")</f>
        <v>febrero</v>
      </c>
      <c r="D490" s="174">
        <v>44239</v>
      </c>
      <c r="E490" s="174" t="str">
        <f>IF(data[[#This Row],[Estatus de 
Cotización]]="PERDIDO","N/A","")</f>
        <v>N/A</v>
      </c>
      <c r="F490" s="174"/>
      <c r="G490" s="109"/>
      <c r="H490" s="174"/>
      <c r="I490" s="86">
        <v>511461</v>
      </c>
      <c r="J490" s="87">
        <v>20085</v>
      </c>
      <c r="K490" s="24" t="s">
        <v>329</v>
      </c>
      <c r="L490" s="106"/>
      <c r="M490" s="105" t="s">
        <v>1049</v>
      </c>
      <c r="N490" s="106">
        <v>1</v>
      </c>
      <c r="O490" s="107"/>
      <c r="P490" s="107">
        <v>950</v>
      </c>
      <c r="Q490" s="28">
        <f>data[[#This Row],[Costo Producto
Proveedor ($/Unid)]]*data[[#This Row],[Cantidad]]</f>
        <v>0</v>
      </c>
      <c r="R490" s="28">
        <f>data[[#This Row],[Cantidad]]*data[[#This Row],[Precio de Venta Cliente ($/Unid)]]</f>
        <v>950</v>
      </c>
      <c r="S490" s="29"/>
      <c r="T490" s="106" t="s">
        <v>22</v>
      </c>
      <c r="U490" s="106"/>
      <c r="V490" s="30" t="s">
        <v>42</v>
      </c>
      <c r="W490" s="32" t="s">
        <v>42</v>
      </c>
      <c r="X490" s="106" t="s">
        <v>23</v>
      </c>
      <c r="Y490" s="106" t="s">
        <v>23</v>
      </c>
      <c r="Z490" s="106" t="s">
        <v>27</v>
      </c>
      <c r="AA490" s="5"/>
    </row>
    <row r="491" spans="2:27" ht="15.75" x14ac:dyDescent="0.25">
      <c r="B491" s="23"/>
      <c r="C491" s="174" t="str">
        <f>TEXT(data[[#This Row],[Fecha de Envío
Cotización]],"MMMM")</f>
        <v>febrero</v>
      </c>
      <c r="D491" s="23">
        <v>44239</v>
      </c>
      <c r="E491" s="174" t="str">
        <f>IF(data[[#This Row],[Estatus de 
Cotización]]="PERDIDO","N/A","")</f>
        <v>N/A</v>
      </c>
      <c r="F491" s="23"/>
      <c r="G491" s="109"/>
      <c r="H491" s="23"/>
      <c r="I491" s="86">
        <v>511462</v>
      </c>
      <c r="J491" s="87">
        <v>20085</v>
      </c>
      <c r="K491" s="24" t="s">
        <v>329</v>
      </c>
      <c r="L491" s="22"/>
      <c r="M491" s="105" t="s">
        <v>1050</v>
      </c>
      <c r="N491" s="22">
        <v>1</v>
      </c>
      <c r="O491" s="26"/>
      <c r="P491" s="107">
        <v>780</v>
      </c>
      <c r="Q491" s="28">
        <f>data[[#This Row],[Costo Producto
Proveedor ($/Unid)]]*data[[#This Row],[Cantidad]]</f>
        <v>0</v>
      </c>
      <c r="R491" s="28">
        <f>data[[#This Row],[Cantidad]]*data[[#This Row],[Precio de Venta Cliente ($/Unid)]]</f>
        <v>780</v>
      </c>
      <c r="S491" s="29"/>
      <c r="T491" s="106" t="s">
        <v>22</v>
      </c>
      <c r="U491" s="106"/>
      <c r="V491" s="30" t="s">
        <v>42</v>
      </c>
      <c r="W491" s="32" t="s">
        <v>42</v>
      </c>
      <c r="X491" s="22" t="s">
        <v>23</v>
      </c>
      <c r="Y491" s="22" t="s">
        <v>23</v>
      </c>
      <c r="Z491" s="22" t="s">
        <v>27</v>
      </c>
      <c r="AA491" s="5"/>
    </row>
    <row r="492" spans="2:27" ht="15.75" x14ac:dyDescent="0.25">
      <c r="B492" s="23"/>
      <c r="C492" s="174" t="str">
        <f>TEXT(data[[#This Row],[Fecha de Envío
Cotización]],"MMMM")</f>
        <v>febrero</v>
      </c>
      <c r="D492" s="23">
        <v>44244</v>
      </c>
      <c r="E492" s="174" t="str">
        <f>IF(data[[#This Row],[Estatus de 
Cotización]]="PERDIDO","N/A","")</f>
        <v>N/A</v>
      </c>
      <c r="F492" s="23"/>
      <c r="G492" s="109"/>
      <c r="H492" s="23"/>
      <c r="I492" s="86">
        <v>511463</v>
      </c>
      <c r="J492" s="87">
        <v>22185</v>
      </c>
      <c r="K492" s="24" t="s">
        <v>76</v>
      </c>
      <c r="L492" s="106"/>
      <c r="M492" s="105" t="s">
        <v>1051</v>
      </c>
      <c r="N492" s="22">
        <v>1</v>
      </c>
      <c r="O492" s="26"/>
      <c r="P492" s="107">
        <v>290.66000000000003</v>
      </c>
      <c r="Q492" s="28">
        <f>data[[#This Row],[Costo Producto
Proveedor ($/Unid)]]*data[[#This Row],[Cantidad]]</f>
        <v>0</v>
      </c>
      <c r="R492" s="28">
        <f>data[[#This Row],[Cantidad]]*data[[#This Row],[Precio de Venta Cliente ($/Unid)]]</f>
        <v>290.66000000000003</v>
      </c>
      <c r="S492" s="29"/>
      <c r="T492" s="106" t="s">
        <v>15</v>
      </c>
      <c r="U492" s="106"/>
      <c r="V492" s="30" t="s">
        <v>42</v>
      </c>
      <c r="W492" s="32" t="s">
        <v>42</v>
      </c>
      <c r="X492" s="22" t="s">
        <v>23</v>
      </c>
      <c r="Y492" s="22" t="s">
        <v>23</v>
      </c>
      <c r="Z492" s="22" t="s">
        <v>27</v>
      </c>
      <c r="AA492" s="5"/>
    </row>
    <row r="493" spans="2:27" ht="15.75" x14ac:dyDescent="0.25">
      <c r="B493" s="174"/>
      <c r="C493" s="174" t="str">
        <f>TEXT(data[[#This Row],[Fecha de Envío
Cotización]],"MMMM")</f>
        <v>febrero</v>
      </c>
      <c r="D493" s="174">
        <v>44245</v>
      </c>
      <c r="E493" s="174" t="str">
        <f>IF(data[[#This Row],[Estatus de 
Cotización]]="PERDIDO","N/A","")</f>
        <v>N/A</v>
      </c>
      <c r="F493" s="174"/>
      <c r="G493" s="109"/>
      <c r="H493" s="174"/>
      <c r="I493" s="86">
        <v>511465</v>
      </c>
      <c r="J493" s="87">
        <v>22187</v>
      </c>
      <c r="K493" s="24" t="s">
        <v>329</v>
      </c>
      <c r="L493" s="106"/>
      <c r="M493" s="105" t="s">
        <v>1052</v>
      </c>
      <c r="N493" s="106">
        <v>20</v>
      </c>
      <c r="O493" s="107"/>
      <c r="P493" s="107">
        <v>8.5</v>
      </c>
      <c r="Q493" s="28">
        <f>data[[#This Row],[Costo Producto
Proveedor ($/Unid)]]*data[[#This Row],[Cantidad]]</f>
        <v>0</v>
      </c>
      <c r="R493" s="28">
        <f>data[[#This Row],[Cantidad]]*data[[#This Row],[Precio de Venta Cliente ($/Unid)]]</f>
        <v>170</v>
      </c>
      <c r="S493" s="29"/>
      <c r="T493" s="106" t="s">
        <v>15</v>
      </c>
      <c r="U493" s="106"/>
      <c r="V493" s="30" t="s">
        <v>42</v>
      </c>
      <c r="W493" s="32" t="s">
        <v>42</v>
      </c>
      <c r="X493" s="106" t="s">
        <v>23</v>
      </c>
      <c r="Y493" s="106" t="s">
        <v>23</v>
      </c>
      <c r="Z493" s="106" t="s">
        <v>27</v>
      </c>
      <c r="AA493" s="5"/>
    </row>
    <row r="494" spans="2:27" ht="15.75" x14ac:dyDescent="0.25">
      <c r="B494" s="23"/>
      <c r="C494" s="174" t="str">
        <f>TEXT(data[[#This Row],[Fecha de Envío
Cotización]],"MMMM")</f>
        <v>febrero</v>
      </c>
      <c r="D494" s="23">
        <v>44245</v>
      </c>
      <c r="E494" s="174" t="str">
        <f>IF(data[[#This Row],[Estatus de 
Cotización]]="PERDIDO","N/A","")</f>
        <v>N/A</v>
      </c>
      <c r="F494" s="23"/>
      <c r="G494" s="109"/>
      <c r="H494" s="23"/>
      <c r="I494" s="86">
        <v>511466</v>
      </c>
      <c r="J494" s="87">
        <v>22187</v>
      </c>
      <c r="K494" s="24" t="s">
        <v>329</v>
      </c>
      <c r="L494" s="22"/>
      <c r="M494" s="105" t="s">
        <v>1053</v>
      </c>
      <c r="N494" s="22">
        <v>20</v>
      </c>
      <c r="O494" s="26"/>
      <c r="P494" s="107">
        <v>18</v>
      </c>
      <c r="Q494" s="28">
        <f>data[[#This Row],[Costo Producto
Proveedor ($/Unid)]]*data[[#This Row],[Cantidad]]</f>
        <v>0</v>
      </c>
      <c r="R494" s="28">
        <f>data[[#This Row],[Cantidad]]*data[[#This Row],[Precio de Venta Cliente ($/Unid)]]</f>
        <v>360</v>
      </c>
      <c r="S494" s="29"/>
      <c r="T494" s="106" t="s">
        <v>15</v>
      </c>
      <c r="U494" s="106"/>
      <c r="V494" s="30" t="s">
        <v>42</v>
      </c>
      <c r="W494" s="32" t="s">
        <v>42</v>
      </c>
      <c r="X494" s="22" t="s">
        <v>23</v>
      </c>
      <c r="Y494" s="22" t="s">
        <v>23</v>
      </c>
      <c r="Z494" s="22" t="s">
        <v>27</v>
      </c>
      <c r="AA494" s="5"/>
    </row>
    <row r="495" spans="2:27" ht="15.75" x14ac:dyDescent="0.25">
      <c r="B495" s="23"/>
      <c r="C495" s="174" t="str">
        <f>TEXT(data[[#This Row],[Fecha de Envío
Cotización]],"MMMM")</f>
        <v>febrero</v>
      </c>
      <c r="D495" s="23">
        <v>44245</v>
      </c>
      <c r="E495" s="174" t="str">
        <f>IF(data[[#This Row],[Estatus de 
Cotización]]="PERDIDO","N/A","")</f>
        <v>N/A</v>
      </c>
      <c r="F495" s="23"/>
      <c r="G495" s="109"/>
      <c r="H495" s="23"/>
      <c r="I495" s="86">
        <v>511467</v>
      </c>
      <c r="J495" s="87">
        <v>22187</v>
      </c>
      <c r="K495" s="24" t="s">
        <v>329</v>
      </c>
      <c r="L495" s="22"/>
      <c r="M495" s="105" t="s">
        <v>1054</v>
      </c>
      <c r="N495" s="22">
        <v>20</v>
      </c>
      <c r="O495" s="26"/>
      <c r="P495" s="107">
        <v>28</v>
      </c>
      <c r="Q495" s="28">
        <f>data[[#This Row],[Costo Producto
Proveedor ($/Unid)]]*data[[#This Row],[Cantidad]]</f>
        <v>0</v>
      </c>
      <c r="R495" s="28">
        <f>data[[#This Row],[Cantidad]]*data[[#This Row],[Precio de Venta Cliente ($/Unid)]]</f>
        <v>560</v>
      </c>
      <c r="S495" s="29"/>
      <c r="T495" s="106" t="s">
        <v>15</v>
      </c>
      <c r="U495" s="106"/>
      <c r="V495" s="30" t="s">
        <v>42</v>
      </c>
      <c r="W495" s="32" t="s">
        <v>42</v>
      </c>
      <c r="X495" s="22" t="s">
        <v>23</v>
      </c>
      <c r="Y495" s="22" t="s">
        <v>23</v>
      </c>
      <c r="Z495" s="22" t="s">
        <v>27</v>
      </c>
      <c r="AA495" s="5"/>
    </row>
    <row r="496" spans="2:27" ht="15.75" x14ac:dyDescent="0.25">
      <c r="B496" s="23"/>
      <c r="C496" s="174" t="str">
        <f>TEXT(data[[#This Row],[Fecha de Envío
Cotización]],"MMMM")</f>
        <v>febrero</v>
      </c>
      <c r="D496" s="23">
        <v>44249</v>
      </c>
      <c r="E496" s="174" t="str">
        <f>IF(data[[#This Row],[Estatus de 
Cotización]]="PERDIDO","N/A","")</f>
        <v>N/A</v>
      </c>
      <c r="F496" s="23"/>
      <c r="G496" s="109"/>
      <c r="H496" s="23"/>
      <c r="I496" s="86">
        <v>511479</v>
      </c>
      <c r="J496" s="87">
        <v>22199</v>
      </c>
      <c r="K496" s="24" t="s">
        <v>76</v>
      </c>
      <c r="L496" s="106"/>
      <c r="M496" s="105" t="s">
        <v>1055</v>
      </c>
      <c r="N496" s="22">
        <v>1</v>
      </c>
      <c r="O496" s="26"/>
      <c r="P496" s="107">
        <v>155.19999999999999</v>
      </c>
      <c r="Q496" s="28">
        <f>data[[#This Row],[Costo Producto
Proveedor ($/Unid)]]*data[[#This Row],[Cantidad]]</f>
        <v>0</v>
      </c>
      <c r="R496" s="28">
        <f>data[[#This Row],[Cantidad]]*data[[#This Row],[Precio de Venta Cliente ($/Unid)]]</f>
        <v>155.19999999999999</v>
      </c>
      <c r="S496" s="29"/>
      <c r="T496" s="106" t="s">
        <v>73</v>
      </c>
      <c r="U496" s="106"/>
      <c r="V496" s="30" t="s">
        <v>42</v>
      </c>
      <c r="W496" s="32" t="s">
        <v>42</v>
      </c>
      <c r="X496" s="22" t="s">
        <v>23</v>
      </c>
      <c r="Y496" s="22" t="s">
        <v>23</v>
      </c>
      <c r="Z496" s="22" t="s">
        <v>27</v>
      </c>
      <c r="AA496" s="5"/>
    </row>
    <row r="497" spans="2:27" ht="15.75" x14ac:dyDescent="0.25">
      <c r="B497" s="23"/>
      <c r="C497" s="174" t="str">
        <f>TEXT(data[[#This Row],[Fecha de Envío
Cotización]],"MMMM")</f>
        <v>febrero</v>
      </c>
      <c r="D497" s="23">
        <v>44251</v>
      </c>
      <c r="E497" s="174" t="str">
        <f>IF(data[[#This Row],[Estatus de 
Cotización]]="PERDIDO","N/A","")</f>
        <v>N/A</v>
      </c>
      <c r="F497" s="23"/>
      <c r="G497" s="109"/>
      <c r="H497" s="23"/>
      <c r="I497" s="86">
        <v>511482</v>
      </c>
      <c r="J497" s="87">
        <v>20136</v>
      </c>
      <c r="K497" s="24" t="s">
        <v>1056</v>
      </c>
      <c r="L497" s="22"/>
      <c r="M497" s="105" t="s">
        <v>1057</v>
      </c>
      <c r="N497" s="22">
        <v>2</v>
      </c>
      <c r="O497" s="26"/>
      <c r="P497" s="107">
        <v>248.68</v>
      </c>
      <c r="Q497" s="28">
        <f>data[[#This Row],[Costo Producto
Proveedor ($/Unid)]]*data[[#This Row],[Cantidad]]</f>
        <v>0</v>
      </c>
      <c r="R497" s="28">
        <f>data[[#This Row],[Cantidad]]*data[[#This Row],[Precio de Venta Cliente ($/Unid)]]</f>
        <v>497.36</v>
      </c>
      <c r="S497" s="29"/>
      <c r="T497" s="106" t="s">
        <v>51</v>
      </c>
      <c r="U497" s="106"/>
      <c r="V497" s="30" t="s">
        <v>42</v>
      </c>
      <c r="W497" s="32" t="s">
        <v>42</v>
      </c>
      <c r="X497" s="22" t="s">
        <v>23</v>
      </c>
      <c r="Y497" s="22" t="s">
        <v>23</v>
      </c>
      <c r="Z497" s="22" t="s">
        <v>27</v>
      </c>
      <c r="AA497" s="5"/>
    </row>
    <row r="498" spans="2:27" ht="15.75" x14ac:dyDescent="0.25">
      <c r="B498" s="23"/>
      <c r="C498" s="174" t="str">
        <f>TEXT(data[[#This Row],[Fecha de Envío
Cotización]],"MMMM")</f>
        <v>febrero</v>
      </c>
      <c r="D498" s="23">
        <v>44251</v>
      </c>
      <c r="E498" s="174" t="str">
        <f>IF(data[[#This Row],[Estatus de 
Cotización]]="PERDIDO","N/A","")</f>
        <v>N/A</v>
      </c>
      <c r="F498" s="23"/>
      <c r="G498" s="109"/>
      <c r="H498" s="23"/>
      <c r="I498" s="86">
        <v>511483</v>
      </c>
      <c r="J498" s="87">
        <v>20136</v>
      </c>
      <c r="K498" s="24" t="s">
        <v>1056</v>
      </c>
      <c r="L498" s="22"/>
      <c r="M498" s="105" t="s">
        <v>1058</v>
      </c>
      <c r="N498" s="22">
        <v>2</v>
      </c>
      <c r="O498" s="26"/>
      <c r="P498" s="107">
        <v>439.42</v>
      </c>
      <c r="Q498" s="28">
        <f>data[[#This Row],[Costo Producto
Proveedor ($/Unid)]]*data[[#This Row],[Cantidad]]</f>
        <v>0</v>
      </c>
      <c r="R498" s="28">
        <f>data[[#This Row],[Cantidad]]*data[[#This Row],[Precio de Venta Cliente ($/Unid)]]</f>
        <v>878.84</v>
      </c>
      <c r="S498" s="29"/>
      <c r="T498" s="106" t="s">
        <v>51</v>
      </c>
      <c r="U498" s="106"/>
      <c r="V498" s="30" t="s">
        <v>42</v>
      </c>
      <c r="W498" s="32" t="s">
        <v>42</v>
      </c>
      <c r="X498" s="22" t="s">
        <v>23</v>
      </c>
      <c r="Y498" s="22" t="s">
        <v>23</v>
      </c>
      <c r="Z498" s="22" t="s">
        <v>27</v>
      </c>
      <c r="AA498" s="5"/>
    </row>
    <row r="499" spans="2:27" ht="15.75" x14ac:dyDescent="0.25">
      <c r="B499" s="23"/>
      <c r="C499" s="174" t="str">
        <f>TEXT(data[[#This Row],[Fecha de Envío
Cotización]],"MMMM")</f>
        <v>febrero</v>
      </c>
      <c r="D499" s="23">
        <v>44252</v>
      </c>
      <c r="E499" s="174" t="str">
        <f>IF(data[[#This Row],[Estatus de 
Cotización]]="PERDIDO","N/A","")</f>
        <v>N/A</v>
      </c>
      <c r="F499" s="23"/>
      <c r="G499" s="109"/>
      <c r="H499" s="23"/>
      <c r="I499" s="86">
        <v>511489</v>
      </c>
      <c r="J499" s="87">
        <v>20199</v>
      </c>
      <c r="K499" s="24" t="s">
        <v>1048</v>
      </c>
      <c r="L499" s="22"/>
      <c r="M499" s="105" t="s">
        <v>1059</v>
      </c>
      <c r="N499" s="22">
        <v>354</v>
      </c>
      <c r="O499" s="26"/>
      <c r="P499" s="107">
        <v>66.319999999999993</v>
      </c>
      <c r="Q499" s="28">
        <f>data[[#This Row],[Costo Producto
Proveedor ($/Unid)]]*data[[#This Row],[Cantidad]]</f>
        <v>0</v>
      </c>
      <c r="R499" s="28">
        <f>data[[#This Row],[Cantidad]]*data[[#This Row],[Precio de Venta Cliente ($/Unid)]]</f>
        <v>23477.279999999999</v>
      </c>
      <c r="S499" s="29"/>
      <c r="T499" s="106" t="s">
        <v>73</v>
      </c>
      <c r="U499" s="106"/>
      <c r="V499" s="30" t="s">
        <v>42</v>
      </c>
      <c r="W499" s="32" t="s">
        <v>42</v>
      </c>
      <c r="X499" s="22" t="s">
        <v>23</v>
      </c>
      <c r="Y499" s="22" t="s">
        <v>23</v>
      </c>
      <c r="Z499" s="22" t="s">
        <v>27</v>
      </c>
      <c r="AA499" s="5"/>
    </row>
    <row r="500" spans="2:27" ht="15.75" x14ac:dyDescent="0.25">
      <c r="B500" s="174"/>
      <c r="C500" s="174" t="str">
        <f>TEXT(data[[#This Row],[Fecha de Envío
Cotización]],"MMMM")</f>
        <v>febrero</v>
      </c>
      <c r="D500" s="174">
        <v>44252</v>
      </c>
      <c r="E500" s="174" t="str">
        <f>IF(data[[#This Row],[Estatus de 
Cotización]]="PERDIDO","N/A","")</f>
        <v>N/A</v>
      </c>
      <c r="F500" s="174"/>
      <c r="G500" s="109"/>
      <c r="H500" s="174"/>
      <c r="I500" s="86">
        <v>511491</v>
      </c>
      <c r="J500" s="87">
        <v>22295</v>
      </c>
      <c r="K500" s="24" t="s">
        <v>329</v>
      </c>
      <c r="L500" s="106"/>
      <c r="M500" s="105" t="s">
        <v>1060</v>
      </c>
      <c r="N500" s="106">
        <v>2</v>
      </c>
      <c r="O500" s="107"/>
      <c r="P500" s="107">
        <v>165.78</v>
      </c>
      <c r="Q500" s="28">
        <f>data[[#This Row],[Costo Producto
Proveedor ($/Unid)]]*data[[#This Row],[Cantidad]]</f>
        <v>0</v>
      </c>
      <c r="R500" s="28">
        <f>data[[#This Row],[Cantidad]]*data[[#This Row],[Precio de Venta Cliente ($/Unid)]]</f>
        <v>331.56</v>
      </c>
      <c r="S500" s="29"/>
      <c r="T500" s="106" t="s">
        <v>51</v>
      </c>
      <c r="U500" s="106"/>
      <c r="V500" s="30" t="s">
        <v>42</v>
      </c>
      <c r="W500" s="32" t="s">
        <v>42</v>
      </c>
      <c r="X500" s="106" t="s">
        <v>23</v>
      </c>
      <c r="Y500" s="106" t="s">
        <v>23</v>
      </c>
      <c r="Z500" s="106" t="s">
        <v>27</v>
      </c>
      <c r="AA500" s="5"/>
    </row>
    <row r="501" spans="2:27" ht="15.75" x14ac:dyDescent="0.25">
      <c r="B501" s="23"/>
      <c r="C501" s="174" t="str">
        <f>TEXT(data[[#This Row],[Fecha de Envío
Cotización]],"MMMM")</f>
        <v>febrero</v>
      </c>
      <c r="D501" s="23">
        <v>44252</v>
      </c>
      <c r="E501" s="174" t="str">
        <f>IF(data[[#This Row],[Estatus de 
Cotización]]="PERDIDO","N/A","")</f>
        <v>N/A</v>
      </c>
      <c r="F501" s="23"/>
      <c r="G501" s="109"/>
      <c r="H501" s="23"/>
      <c r="I501" s="86">
        <v>511492</v>
      </c>
      <c r="J501" s="87">
        <v>22295</v>
      </c>
      <c r="K501" s="24" t="s">
        <v>329</v>
      </c>
      <c r="L501" s="22"/>
      <c r="M501" s="105" t="s">
        <v>1061</v>
      </c>
      <c r="N501" s="22">
        <v>2</v>
      </c>
      <c r="O501" s="26"/>
      <c r="P501" s="107">
        <v>580.26</v>
      </c>
      <c r="Q501" s="28">
        <f>data[[#This Row],[Costo Producto
Proveedor ($/Unid)]]*data[[#This Row],[Cantidad]]</f>
        <v>0</v>
      </c>
      <c r="R501" s="28">
        <f>data[[#This Row],[Cantidad]]*data[[#This Row],[Precio de Venta Cliente ($/Unid)]]</f>
        <v>1160.52</v>
      </c>
      <c r="S501" s="29"/>
      <c r="T501" s="106" t="s">
        <v>51</v>
      </c>
      <c r="U501" s="106"/>
      <c r="V501" s="30" t="s">
        <v>42</v>
      </c>
      <c r="W501" s="32" t="s">
        <v>42</v>
      </c>
      <c r="X501" s="22" t="s">
        <v>23</v>
      </c>
      <c r="Y501" s="22" t="s">
        <v>23</v>
      </c>
      <c r="Z501" s="22" t="s">
        <v>27</v>
      </c>
      <c r="AA501" s="5"/>
    </row>
    <row r="502" spans="2:27" x14ac:dyDescent="0.25">
      <c r="B502" s="23"/>
      <c r="C502" s="174" t="str">
        <f>TEXT(data[[#This Row],[Fecha de Envío
Cotización]],"MMMM")</f>
        <v>marzo</v>
      </c>
      <c r="D502" s="23">
        <v>44258</v>
      </c>
      <c r="E502" s="174">
        <v>44258</v>
      </c>
      <c r="F502" s="23"/>
      <c r="G502" s="109"/>
      <c r="H502" s="23"/>
      <c r="I502" s="86">
        <v>511505</v>
      </c>
      <c r="J502" s="87">
        <v>2486</v>
      </c>
      <c r="K502" s="24" t="s">
        <v>89</v>
      </c>
      <c r="L502" s="21"/>
      <c r="M502" s="111" t="s">
        <v>598</v>
      </c>
      <c r="N502" s="22">
        <v>1</v>
      </c>
      <c r="O502" s="26"/>
      <c r="P502" s="27">
        <v>270</v>
      </c>
      <c r="Q502" s="28">
        <f>data[[#This Row],[Costo Producto
Proveedor ($/Unid)]]*data[[#This Row],[Cantidad]]</f>
        <v>0</v>
      </c>
      <c r="R502" s="120">
        <f>data[[#This Row],[Cantidad]]*data[[#This Row],[Precio de Venta Cliente ($/Unid)]]</f>
        <v>270</v>
      </c>
      <c r="S502" s="29"/>
      <c r="T502" s="106" t="s">
        <v>22</v>
      </c>
      <c r="U502" s="106"/>
      <c r="V502" s="30" t="s">
        <v>44</v>
      </c>
      <c r="W502" s="174" t="s">
        <v>44</v>
      </c>
      <c r="X502" s="22" t="s">
        <v>45</v>
      </c>
      <c r="Y502" s="22" t="s">
        <v>47</v>
      </c>
      <c r="Z502" s="22" t="s">
        <v>27</v>
      </c>
      <c r="AA502" s="106" t="s">
        <v>1467</v>
      </c>
    </row>
    <row r="503" spans="2:27" x14ac:dyDescent="0.25">
      <c r="B503" s="23"/>
      <c r="C503" s="174" t="str">
        <f>TEXT(data[[#This Row],[Fecha de Envío
Cotización]],"MMMM")</f>
        <v>marzo</v>
      </c>
      <c r="D503" s="23">
        <v>44258</v>
      </c>
      <c r="E503" s="174" t="str">
        <f>IF(data[[#This Row],[Estatus de 
Cotización]]="PERDIDO","N/A","")</f>
        <v>N/A</v>
      </c>
      <c r="F503" s="23"/>
      <c r="G503" s="109"/>
      <c r="H503" s="23"/>
      <c r="I503" s="86">
        <v>511506</v>
      </c>
      <c r="J503" s="87">
        <v>25538</v>
      </c>
      <c r="K503" s="24" t="s">
        <v>28</v>
      </c>
      <c r="L503" s="22"/>
      <c r="M503" s="108" t="s">
        <v>599</v>
      </c>
      <c r="N503" s="22">
        <v>6</v>
      </c>
      <c r="O503" s="26"/>
      <c r="P503" s="27">
        <v>416</v>
      </c>
      <c r="Q503" s="28">
        <f>data[[#This Row],[Costo Producto
Proveedor ($/Unid)]]*data[[#This Row],[Cantidad]]</f>
        <v>0</v>
      </c>
      <c r="R503" s="28">
        <f>data[[#This Row],[Cantidad]]*data[[#This Row],[Precio de Venta Cliente ($/Unid)]]</f>
        <v>2496</v>
      </c>
      <c r="S503" s="29"/>
      <c r="T503" s="106" t="s">
        <v>15</v>
      </c>
      <c r="U503" s="106"/>
      <c r="V503" s="30" t="s">
        <v>42</v>
      </c>
      <c r="W503" s="106" t="s">
        <v>42</v>
      </c>
      <c r="X503" s="22" t="s">
        <v>23</v>
      </c>
      <c r="Y503" s="22" t="s">
        <v>23</v>
      </c>
      <c r="Z503" s="22" t="s">
        <v>27</v>
      </c>
      <c r="AA503" s="106" t="s">
        <v>600</v>
      </c>
    </row>
    <row r="504" spans="2:27" x14ac:dyDescent="0.25">
      <c r="B504" s="23"/>
      <c r="C504" s="174" t="str">
        <f>TEXT(data[[#This Row],[Fecha de Envío
Cotización]],"MMMM")</f>
        <v>marzo</v>
      </c>
      <c r="D504" s="44">
        <v>44258</v>
      </c>
      <c r="E504" s="174" t="str">
        <f>IF(data[[#This Row],[Estatus de 
Cotización]]="PERDIDO","N/A","")</f>
        <v>N/A</v>
      </c>
      <c r="F504" s="23"/>
      <c r="G504" s="109"/>
      <c r="H504" s="23"/>
      <c r="I504" s="86">
        <v>511507</v>
      </c>
      <c r="J504" s="87">
        <v>25538</v>
      </c>
      <c r="K504" s="24" t="s">
        <v>28</v>
      </c>
      <c r="L504" s="22"/>
      <c r="M504" s="108" t="s">
        <v>601</v>
      </c>
      <c r="N504" s="22">
        <v>1</v>
      </c>
      <c r="O504" s="26"/>
      <c r="P504" s="27">
        <v>425</v>
      </c>
      <c r="Q504" s="28">
        <f>data[[#This Row],[Costo Producto
Proveedor ($/Unid)]]*data[[#This Row],[Cantidad]]</f>
        <v>0</v>
      </c>
      <c r="R504" s="28">
        <f>data[[#This Row],[Cantidad]]*data[[#This Row],[Precio de Venta Cliente ($/Unid)]]</f>
        <v>425</v>
      </c>
      <c r="S504" s="29"/>
      <c r="T504" s="106" t="s">
        <v>15</v>
      </c>
      <c r="U504" s="106"/>
      <c r="V504" s="30" t="s">
        <v>42</v>
      </c>
      <c r="W504" s="174" t="s">
        <v>42</v>
      </c>
      <c r="X504" s="22" t="s">
        <v>23</v>
      </c>
      <c r="Y504" s="22" t="s">
        <v>23</v>
      </c>
      <c r="Z504" s="22" t="s">
        <v>27</v>
      </c>
      <c r="AA504" s="106" t="s">
        <v>600</v>
      </c>
    </row>
    <row r="505" spans="2:27" x14ac:dyDescent="0.25">
      <c r="B505" s="174"/>
      <c r="C505" s="174" t="str">
        <f>TEXT(data[[#This Row],[Fecha de Envío
Cotización]],"MMMM")</f>
        <v>marzo</v>
      </c>
      <c r="D505" s="174">
        <v>44258</v>
      </c>
      <c r="E505" s="174" t="str">
        <f>IF(data[[#This Row],[Estatus de 
Cotización]]="PERDIDO","N/A","")</f>
        <v>N/A</v>
      </c>
      <c r="F505" s="174"/>
      <c r="G505" s="109"/>
      <c r="H505" s="174"/>
      <c r="I505" s="86">
        <v>511508</v>
      </c>
      <c r="J505" s="87">
        <v>26538</v>
      </c>
      <c r="K505" s="24" t="s">
        <v>29</v>
      </c>
      <c r="L505" s="106"/>
      <c r="M505" s="108" t="s">
        <v>602</v>
      </c>
      <c r="N505" s="106">
        <v>1</v>
      </c>
      <c r="O505" s="107"/>
      <c r="P505" s="27">
        <v>659.16</v>
      </c>
      <c r="Q505" s="28">
        <f>data[[#This Row],[Costo Producto
Proveedor ($/Unid)]]*data[[#This Row],[Cantidad]]</f>
        <v>0</v>
      </c>
      <c r="R505" s="28">
        <f>data[[#This Row],[Cantidad]]*data[[#This Row],[Precio de Venta Cliente ($/Unid)]]</f>
        <v>659.16</v>
      </c>
      <c r="S505" s="29"/>
      <c r="T505" s="106" t="s">
        <v>603</v>
      </c>
      <c r="U505" s="106"/>
      <c r="V505" s="30" t="s">
        <v>42</v>
      </c>
      <c r="W505" s="174" t="s">
        <v>42</v>
      </c>
      <c r="X505" s="106" t="s">
        <v>23</v>
      </c>
      <c r="Y505" s="106" t="s">
        <v>23</v>
      </c>
      <c r="Z505" s="106" t="s">
        <v>27</v>
      </c>
      <c r="AA505" s="106" t="s">
        <v>48</v>
      </c>
    </row>
    <row r="506" spans="2:27" x14ac:dyDescent="0.25">
      <c r="B506" s="174"/>
      <c r="C506" s="174" t="str">
        <f>TEXT(data[[#This Row],[Fecha de Envío
Cotización]],"MMMM")</f>
        <v>marzo</v>
      </c>
      <c r="D506" s="174">
        <v>44258</v>
      </c>
      <c r="E506" s="174" t="str">
        <f>IF(data[[#This Row],[Estatus de 
Cotización]]="PERDIDO","N/A","")</f>
        <v>N/A</v>
      </c>
      <c r="F506" s="174"/>
      <c r="G506" s="109"/>
      <c r="H506" s="174"/>
      <c r="I506" s="86">
        <v>511509</v>
      </c>
      <c r="J506" s="87">
        <v>26538</v>
      </c>
      <c r="K506" s="24" t="s">
        <v>29</v>
      </c>
      <c r="L506" s="106"/>
      <c r="M506" s="108" t="s">
        <v>604</v>
      </c>
      <c r="N506" s="106">
        <v>1</v>
      </c>
      <c r="O506" s="107"/>
      <c r="P506" s="27">
        <v>710.22</v>
      </c>
      <c r="Q506" s="28">
        <f>data[[#This Row],[Costo Producto
Proveedor ($/Unid)]]*data[[#This Row],[Cantidad]]</f>
        <v>0</v>
      </c>
      <c r="R506" s="28">
        <f>data[[#This Row],[Cantidad]]*data[[#This Row],[Precio de Venta Cliente ($/Unid)]]</f>
        <v>710.22</v>
      </c>
      <c r="S506" s="29"/>
      <c r="T506" s="106" t="s">
        <v>22</v>
      </c>
      <c r="U506" s="106"/>
      <c r="V506" s="30" t="s">
        <v>42</v>
      </c>
      <c r="W506" s="174" t="s">
        <v>42</v>
      </c>
      <c r="X506" s="106" t="s">
        <v>23</v>
      </c>
      <c r="Y506" s="106" t="s">
        <v>23</v>
      </c>
      <c r="Z506" s="106" t="s">
        <v>27</v>
      </c>
      <c r="AA506" s="106" t="s">
        <v>48</v>
      </c>
    </row>
    <row r="507" spans="2:27" s="50" customFormat="1" x14ac:dyDescent="0.25">
      <c r="B507" s="174"/>
      <c r="C507" s="174" t="str">
        <f>TEXT(data[[#This Row],[Fecha de Envío
Cotización]],"MMMM")</f>
        <v>marzo</v>
      </c>
      <c r="D507" s="174">
        <v>44258</v>
      </c>
      <c r="E507" s="174" t="str">
        <f>IF(data[[#This Row],[Estatus de 
Cotización]]="PERDIDO","N/A","")</f>
        <v>N/A</v>
      </c>
      <c r="F507" s="174"/>
      <c r="G507" s="109"/>
      <c r="H507" s="174"/>
      <c r="I507" s="86">
        <v>511510</v>
      </c>
      <c r="J507" s="87">
        <v>26538</v>
      </c>
      <c r="K507" s="24" t="s">
        <v>29</v>
      </c>
      <c r="L507" s="106"/>
      <c r="M507" s="108" t="s">
        <v>605</v>
      </c>
      <c r="N507" s="106">
        <v>1</v>
      </c>
      <c r="O507" s="107"/>
      <c r="P507" s="27">
        <v>655.44</v>
      </c>
      <c r="Q507" s="28">
        <f>data[[#This Row],[Costo Producto
Proveedor ($/Unid)]]*data[[#This Row],[Cantidad]]</f>
        <v>0</v>
      </c>
      <c r="R507" s="28">
        <f>data[[#This Row],[Cantidad]]*data[[#This Row],[Precio de Venta Cliente ($/Unid)]]</f>
        <v>655.44</v>
      </c>
      <c r="S507" s="29"/>
      <c r="T507" s="106" t="s">
        <v>22</v>
      </c>
      <c r="U507" s="106"/>
      <c r="V507" s="30" t="s">
        <v>42</v>
      </c>
      <c r="W507" s="174" t="s">
        <v>42</v>
      </c>
      <c r="X507" s="106" t="s">
        <v>23</v>
      </c>
      <c r="Y507" s="106" t="s">
        <v>23</v>
      </c>
      <c r="Z507" s="106" t="s">
        <v>27</v>
      </c>
      <c r="AA507" s="106" t="s">
        <v>48</v>
      </c>
    </row>
    <row r="508" spans="2:27" s="50" customFormat="1" x14ac:dyDescent="0.25">
      <c r="B508" s="174"/>
      <c r="C508" s="174" t="str">
        <f>TEXT(data[[#This Row],[Fecha de Envío
Cotización]],"MMMM")</f>
        <v>marzo</v>
      </c>
      <c r="D508" s="174">
        <v>44258</v>
      </c>
      <c r="E508" s="174" t="str">
        <f>IF(data[[#This Row],[Estatus de 
Cotización]]="PERDIDO","N/A","")</f>
        <v>N/A</v>
      </c>
      <c r="F508" s="174"/>
      <c r="G508" s="109"/>
      <c r="H508" s="174"/>
      <c r="I508" s="86">
        <v>511511</v>
      </c>
      <c r="J508" s="87">
        <v>26538</v>
      </c>
      <c r="K508" s="24" t="s">
        <v>29</v>
      </c>
      <c r="L508" s="106"/>
      <c r="M508" s="108" t="s">
        <v>606</v>
      </c>
      <c r="N508" s="106">
        <v>3</v>
      </c>
      <c r="O508" s="107"/>
      <c r="P508" s="27">
        <v>655.25</v>
      </c>
      <c r="Q508" s="28">
        <f>data[[#This Row],[Costo Producto
Proveedor ($/Unid)]]*data[[#This Row],[Cantidad]]</f>
        <v>0</v>
      </c>
      <c r="R508" s="28">
        <f>data[[#This Row],[Cantidad]]*data[[#This Row],[Precio de Venta Cliente ($/Unid)]]</f>
        <v>1965.75</v>
      </c>
      <c r="S508" s="29"/>
      <c r="T508" s="106" t="s">
        <v>603</v>
      </c>
      <c r="U508" s="106"/>
      <c r="V508" s="30" t="s">
        <v>42</v>
      </c>
      <c r="W508" s="174" t="s">
        <v>42</v>
      </c>
      <c r="X508" s="106" t="s">
        <v>23</v>
      </c>
      <c r="Y508" s="106" t="s">
        <v>23</v>
      </c>
      <c r="Z508" s="106" t="s">
        <v>27</v>
      </c>
      <c r="AA508" s="106" t="s">
        <v>48</v>
      </c>
    </row>
    <row r="509" spans="2:27" s="50" customFormat="1" x14ac:dyDescent="0.25">
      <c r="B509" s="174"/>
      <c r="C509" s="174" t="str">
        <f>TEXT(data[[#This Row],[Fecha de Envío
Cotización]],"MMMM")</f>
        <v>marzo</v>
      </c>
      <c r="D509" s="174">
        <v>44258</v>
      </c>
      <c r="E509" s="174" t="str">
        <f>IF(data[[#This Row],[Estatus de 
Cotización]]="PERDIDO","N/A","")</f>
        <v>N/A</v>
      </c>
      <c r="F509" s="174"/>
      <c r="G509" s="109"/>
      <c r="H509" s="174"/>
      <c r="I509" s="86">
        <v>511512</v>
      </c>
      <c r="J509" s="87">
        <v>24538</v>
      </c>
      <c r="K509" s="24" t="s">
        <v>26</v>
      </c>
      <c r="L509" s="106"/>
      <c r="M509" s="108" t="s">
        <v>607</v>
      </c>
      <c r="N509" s="106">
        <v>10</v>
      </c>
      <c r="O509" s="107"/>
      <c r="P509" s="27">
        <v>41.25</v>
      </c>
      <c r="Q509" s="28">
        <f>data[[#This Row],[Costo Producto
Proveedor ($/Unid)]]*data[[#This Row],[Cantidad]]</f>
        <v>0</v>
      </c>
      <c r="R509" s="28">
        <f>data[[#This Row],[Cantidad]]*data[[#This Row],[Precio de Venta Cliente ($/Unid)]]</f>
        <v>412.5</v>
      </c>
      <c r="S509" s="29"/>
      <c r="T509" s="106" t="s">
        <v>15</v>
      </c>
      <c r="U509" s="106"/>
      <c r="V509" s="30" t="s">
        <v>42</v>
      </c>
      <c r="W509" s="106" t="s">
        <v>42</v>
      </c>
      <c r="X509" s="106" t="s">
        <v>23</v>
      </c>
      <c r="Y509" s="106" t="s">
        <v>23</v>
      </c>
      <c r="Z509" s="106" t="s">
        <v>27</v>
      </c>
      <c r="AA509" s="106" t="s">
        <v>48</v>
      </c>
    </row>
    <row r="510" spans="2:27" x14ac:dyDescent="0.25">
      <c r="B510" s="174"/>
      <c r="C510" s="174" t="str">
        <f>TEXT(data[[#This Row],[Fecha de Envío
Cotización]],"MMMM")</f>
        <v>marzo</v>
      </c>
      <c r="D510" s="174">
        <v>44260</v>
      </c>
      <c r="E510" s="174" t="str">
        <f>IF(data[[#This Row],[Estatus de 
Cotización]]="PERDIDO","N/A","")</f>
        <v>N/A</v>
      </c>
      <c r="F510" s="174"/>
      <c r="G510" s="109"/>
      <c r="H510" s="174"/>
      <c r="I510" s="86">
        <v>511530</v>
      </c>
      <c r="J510" s="87">
        <v>24540</v>
      </c>
      <c r="K510" s="24" t="s">
        <v>76</v>
      </c>
      <c r="L510" s="106"/>
      <c r="M510" s="108" t="s">
        <v>608</v>
      </c>
      <c r="N510" s="106">
        <v>40</v>
      </c>
      <c r="O510" s="107"/>
      <c r="P510" s="27">
        <v>10.45</v>
      </c>
      <c r="Q510" s="28">
        <f>data[[#This Row],[Costo Producto
Proveedor ($/Unid)]]*data[[#This Row],[Cantidad]]</f>
        <v>0</v>
      </c>
      <c r="R510" s="28">
        <f>data[[#This Row],[Cantidad]]*data[[#This Row],[Precio de Venta Cliente ($/Unid)]]</f>
        <v>418</v>
      </c>
      <c r="S510" s="29"/>
      <c r="T510" s="106" t="s">
        <v>77</v>
      </c>
      <c r="U510" s="106"/>
      <c r="V510" s="30" t="s">
        <v>42</v>
      </c>
      <c r="W510" s="174" t="s">
        <v>42</v>
      </c>
      <c r="X510" s="106" t="s">
        <v>23</v>
      </c>
      <c r="Y510" s="106" t="s">
        <v>23</v>
      </c>
      <c r="Z510" s="106" t="s">
        <v>27</v>
      </c>
      <c r="AA510" s="106" t="s">
        <v>609</v>
      </c>
    </row>
    <row r="511" spans="2:27" x14ac:dyDescent="0.25">
      <c r="B511" s="174"/>
      <c r="C511" s="174" t="str">
        <f>TEXT(data[[#This Row],[Fecha de Envío
Cotización]],"MMMM")</f>
        <v>marzo</v>
      </c>
      <c r="D511" s="174">
        <v>44260</v>
      </c>
      <c r="E511" s="174" t="str">
        <f>IF(data[[#This Row],[Estatus de 
Cotización]]="PERDIDO","N/A","")</f>
        <v>N/A</v>
      </c>
      <c r="F511" s="174"/>
      <c r="G511" s="109"/>
      <c r="H511" s="174"/>
      <c r="I511" s="86">
        <v>511531</v>
      </c>
      <c r="J511" s="87">
        <v>24539</v>
      </c>
      <c r="K511" s="24" t="s">
        <v>76</v>
      </c>
      <c r="L511" s="106"/>
      <c r="M511" s="108" t="s">
        <v>610</v>
      </c>
      <c r="N511" s="106">
        <v>8</v>
      </c>
      <c r="O511" s="107"/>
      <c r="P511" s="27">
        <v>283.5</v>
      </c>
      <c r="Q511" s="28">
        <f>data[[#This Row],[Costo Producto
Proveedor ($/Unid)]]*data[[#This Row],[Cantidad]]</f>
        <v>0</v>
      </c>
      <c r="R511" s="28">
        <f>data[[#This Row],[Cantidad]]*data[[#This Row],[Precio de Venta Cliente ($/Unid)]]</f>
        <v>2268</v>
      </c>
      <c r="S511" s="29"/>
      <c r="T511" s="106" t="s">
        <v>73</v>
      </c>
      <c r="U511" s="106"/>
      <c r="V511" s="30" t="s">
        <v>42</v>
      </c>
      <c r="W511" s="174" t="s">
        <v>42</v>
      </c>
      <c r="X511" s="106" t="s">
        <v>23</v>
      </c>
      <c r="Y511" s="106" t="s">
        <v>23</v>
      </c>
      <c r="Z511" s="106" t="s">
        <v>27</v>
      </c>
      <c r="AA511" s="106" t="s">
        <v>609</v>
      </c>
    </row>
    <row r="512" spans="2:27" x14ac:dyDescent="0.25">
      <c r="B512" s="174"/>
      <c r="C512" s="174" t="str">
        <f>TEXT(data[[#This Row],[Fecha de Envío
Cotización]],"MMMM")</f>
        <v>marzo</v>
      </c>
      <c r="D512" s="174">
        <v>44263</v>
      </c>
      <c r="E512" s="174" t="str">
        <f>IF(data[[#This Row],[Estatus de 
Cotización]]="PERDIDO","N/A","")</f>
        <v>N/A</v>
      </c>
      <c r="F512" s="174"/>
      <c r="G512" s="109"/>
      <c r="H512" s="174"/>
      <c r="I512" s="86">
        <v>511548</v>
      </c>
      <c r="J512" s="87">
        <v>28550</v>
      </c>
      <c r="K512" s="24" t="s">
        <v>78</v>
      </c>
      <c r="L512" s="106"/>
      <c r="M512" s="108" t="s">
        <v>611</v>
      </c>
      <c r="N512" s="106">
        <v>1</v>
      </c>
      <c r="O512" s="107"/>
      <c r="P512" s="27">
        <v>965.91</v>
      </c>
      <c r="Q512" s="28">
        <f>data[[#This Row],[Costo Producto
Proveedor ($/Unid)]]*data[[#This Row],[Cantidad]]</f>
        <v>0</v>
      </c>
      <c r="R512" s="28">
        <f>data[[#This Row],[Cantidad]]*data[[#This Row],[Precio de Venta Cliente ($/Unid)]]</f>
        <v>965.91</v>
      </c>
      <c r="S512" s="29"/>
      <c r="T512" s="106" t="s">
        <v>22</v>
      </c>
      <c r="U512" s="106"/>
      <c r="V512" s="30" t="s">
        <v>42</v>
      </c>
      <c r="W512" s="174" t="s">
        <v>42</v>
      </c>
      <c r="X512" s="106" t="s">
        <v>23</v>
      </c>
      <c r="Y512" s="106" t="s">
        <v>23</v>
      </c>
      <c r="Z512" s="106" t="s">
        <v>27</v>
      </c>
      <c r="AA512" s="106" t="s">
        <v>79</v>
      </c>
    </row>
    <row r="513" spans="2:27" x14ac:dyDescent="0.25">
      <c r="B513" s="174"/>
      <c r="C513" s="174" t="str">
        <f>TEXT(data[[#This Row],[Fecha de Envío
Cotización]],"MMMM")</f>
        <v>marzo</v>
      </c>
      <c r="D513" s="174">
        <v>44263</v>
      </c>
      <c r="E513" s="174" t="str">
        <f>IF(data[[#This Row],[Estatus de 
Cotización]]="PERDIDO","N/A","")</f>
        <v>N/A</v>
      </c>
      <c r="F513" s="174"/>
      <c r="G513" s="109"/>
      <c r="H513" s="174"/>
      <c r="I513" s="86">
        <v>511549</v>
      </c>
      <c r="J513" s="87">
        <v>25014</v>
      </c>
      <c r="K513" s="110" t="s">
        <v>72</v>
      </c>
      <c r="L513" s="106"/>
      <c r="M513" s="108" t="s">
        <v>612</v>
      </c>
      <c r="N513" s="106">
        <v>1</v>
      </c>
      <c r="O513" s="107"/>
      <c r="P513" s="27">
        <v>7652</v>
      </c>
      <c r="Q513" s="28">
        <f>data[[#This Row],[Costo Producto
Proveedor ($/Unid)]]*data[[#This Row],[Cantidad]]</f>
        <v>0</v>
      </c>
      <c r="R513" s="28">
        <f>data[[#This Row],[Cantidad]]*data[[#This Row],[Precio de Venta Cliente ($/Unid)]]</f>
        <v>7652</v>
      </c>
      <c r="S513" s="29"/>
      <c r="T513" s="106" t="s">
        <v>36</v>
      </c>
      <c r="U513" s="106"/>
      <c r="V513" s="30" t="s">
        <v>42</v>
      </c>
      <c r="W513" s="174" t="s">
        <v>42</v>
      </c>
      <c r="X513" s="106" t="s">
        <v>23</v>
      </c>
      <c r="Y513" s="106" t="s">
        <v>23</v>
      </c>
      <c r="Z513" s="106" t="s">
        <v>27</v>
      </c>
      <c r="AA513" s="106"/>
    </row>
    <row r="514" spans="2:27" x14ac:dyDescent="0.25">
      <c r="B514" s="174"/>
      <c r="C514" s="174" t="str">
        <f>TEXT(data[[#This Row],[Fecha de Envío
Cotización]],"MMMM")</f>
        <v>marzo</v>
      </c>
      <c r="D514" s="174">
        <v>44265</v>
      </c>
      <c r="E514" s="174" t="str">
        <f>IF(data[[#This Row],[Estatus de 
Cotización]]="PERDIDO","N/A","")</f>
        <v>N/A</v>
      </c>
      <c r="F514" s="174"/>
      <c r="G514" s="109"/>
      <c r="H514" s="174"/>
      <c r="I514" s="86">
        <v>511557</v>
      </c>
      <c r="J514" s="87">
        <v>29669</v>
      </c>
      <c r="K514" s="24" t="s">
        <v>613</v>
      </c>
      <c r="L514" s="106"/>
      <c r="M514" s="108" t="s">
        <v>614</v>
      </c>
      <c r="N514" s="106">
        <v>1</v>
      </c>
      <c r="O514" s="107"/>
      <c r="P514" s="27">
        <v>985.52</v>
      </c>
      <c r="Q514" s="28">
        <f>data[[#This Row],[Costo Producto
Proveedor ($/Unid)]]*data[[#This Row],[Cantidad]]</f>
        <v>0</v>
      </c>
      <c r="R514" s="28">
        <f>data[[#This Row],[Cantidad]]*data[[#This Row],[Precio de Venta Cliente ($/Unid)]]</f>
        <v>985.52</v>
      </c>
      <c r="S514" s="29"/>
      <c r="T514" s="106" t="s">
        <v>22</v>
      </c>
      <c r="U514" s="106"/>
      <c r="V514" s="30" t="s">
        <v>42</v>
      </c>
      <c r="W514" s="174" t="s">
        <v>42</v>
      </c>
      <c r="X514" s="106" t="s">
        <v>23</v>
      </c>
      <c r="Y514" s="106" t="s">
        <v>23</v>
      </c>
      <c r="Z514" s="106" t="s">
        <v>27</v>
      </c>
      <c r="AA514" s="106"/>
    </row>
    <row r="515" spans="2:27" x14ac:dyDescent="0.25">
      <c r="B515" s="174"/>
      <c r="C515" s="174" t="str">
        <f>TEXT(data[[#This Row],[Fecha de Envío
Cotización]],"MMMM")</f>
        <v>marzo</v>
      </c>
      <c r="D515" s="174">
        <v>44266</v>
      </c>
      <c r="E515" s="174" t="str">
        <f>IF(data[[#This Row],[Estatus de 
Cotización]]="PERDIDO","N/A","")</f>
        <v>N/A</v>
      </c>
      <c r="F515" s="174"/>
      <c r="G515" s="109"/>
      <c r="H515" s="174"/>
      <c r="I515" s="86">
        <v>511573</v>
      </c>
      <c r="J515" s="87">
        <v>29938</v>
      </c>
      <c r="K515" s="24" t="s">
        <v>28</v>
      </c>
      <c r="L515" s="106"/>
      <c r="M515" s="108" t="s">
        <v>615</v>
      </c>
      <c r="N515" s="106">
        <v>1</v>
      </c>
      <c r="O515" s="107"/>
      <c r="P515" s="27">
        <v>710</v>
      </c>
      <c r="Q515" s="28">
        <f>data[[#This Row],[Costo Producto
Proveedor ($/Unid)]]*data[[#This Row],[Cantidad]]</f>
        <v>0</v>
      </c>
      <c r="R515" s="28">
        <f>data[[#This Row],[Cantidad]]*data[[#This Row],[Precio de Venta Cliente ($/Unid)]]</f>
        <v>710</v>
      </c>
      <c r="S515" s="29"/>
      <c r="T515" s="106" t="s">
        <v>22</v>
      </c>
      <c r="U515" s="106"/>
      <c r="V515" s="30" t="s">
        <v>42</v>
      </c>
      <c r="W515" s="174" t="s">
        <v>42</v>
      </c>
      <c r="X515" s="106" t="s">
        <v>23</v>
      </c>
      <c r="Y515" s="106" t="s">
        <v>23</v>
      </c>
      <c r="Z515" s="106" t="s">
        <v>27</v>
      </c>
      <c r="AA515" s="106" t="s">
        <v>616</v>
      </c>
    </row>
    <row r="516" spans="2:27" x14ac:dyDescent="0.25">
      <c r="B516" s="174"/>
      <c r="C516" s="174" t="str">
        <f>TEXT(data[[#This Row],[Fecha de Envío
Cotización]],"MMMM")</f>
        <v>marzo</v>
      </c>
      <c r="D516" s="174">
        <v>44267</v>
      </c>
      <c r="E516" s="174" t="str">
        <f>IF(data[[#This Row],[Estatus de 
Cotización]]="PERDIDO","N/A","")</f>
        <v>N/A</v>
      </c>
      <c r="F516" s="174"/>
      <c r="G516" s="109"/>
      <c r="H516" s="174"/>
      <c r="I516" s="86">
        <v>511581</v>
      </c>
      <c r="J516" s="87">
        <v>30001</v>
      </c>
      <c r="K516" s="24" t="s">
        <v>81</v>
      </c>
      <c r="L516" s="106"/>
      <c r="M516" s="108" t="s">
        <v>617</v>
      </c>
      <c r="N516" s="106">
        <v>10</v>
      </c>
      <c r="O516" s="107"/>
      <c r="P516" s="27">
        <v>25.42</v>
      </c>
      <c r="Q516" s="28">
        <f>data[[#This Row],[Costo Producto
Proveedor ($/Unid)]]*data[[#This Row],[Cantidad]]</f>
        <v>0</v>
      </c>
      <c r="R516" s="28">
        <f>data[[#This Row],[Cantidad]]*data[[#This Row],[Precio de Venta Cliente ($/Unid)]]</f>
        <v>254.20000000000002</v>
      </c>
      <c r="S516" s="29"/>
      <c r="T516" s="106" t="s">
        <v>73</v>
      </c>
      <c r="U516" s="106"/>
      <c r="V516" s="30" t="s">
        <v>42</v>
      </c>
      <c r="W516" s="174" t="s">
        <v>42</v>
      </c>
      <c r="X516" s="106" t="s">
        <v>23</v>
      </c>
      <c r="Y516" s="106" t="s">
        <v>23</v>
      </c>
      <c r="Z516" s="106" t="s">
        <v>27</v>
      </c>
      <c r="AA516" s="106"/>
    </row>
    <row r="517" spans="2:27" x14ac:dyDescent="0.25">
      <c r="B517" s="174"/>
      <c r="C517" s="174" t="str">
        <f>TEXT(data[[#This Row],[Fecha de Envío
Cotización]],"MMMM")</f>
        <v>marzo</v>
      </c>
      <c r="D517" s="174">
        <v>44273</v>
      </c>
      <c r="E517" s="174">
        <v>44294</v>
      </c>
      <c r="F517" s="174">
        <v>44295</v>
      </c>
      <c r="G517" s="109">
        <v>7331496622</v>
      </c>
      <c r="H517" s="174">
        <v>44294</v>
      </c>
      <c r="I517" s="86">
        <v>511614</v>
      </c>
      <c r="J517" s="87">
        <v>35711</v>
      </c>
      <c r="K517" s="24" t="s">
        <v>76</v>
      </c>
      <c r="L517" s="106"/>
      <c r="M517" s="108" t="s">
        <v>618</v>
      </c>
      <c r="N517" s="106">
        <v>5068</v>
      </c>
      <c r="O517" s="107">
        <v>0.22</v>
      </c>
      <c r="P517" s="27">
        <v>0.35</v>
      </c>
      <c r="Q517" s="28">
        <f>data[[#This Row],[Costo Producto
Proveedor ($/Unid)]]*data[[#This Row],[Cantidad]]</f>
        <v>1114.96</v>
      </c>
      <c r="R517" s="121">
        <f>data[[#This Row],[Cantidad]]*data[[#This Row],[Precio de Venta Cliente ($/Unid)]]</f>
        <v>1773.8</v>
      </c>
      <c r="S517" s="29"/>
      <c r="T517" s="106" t="s">
        <v>16</v>
      </c>
      <c r="U517" s="106"/>
      <c r="V517" s="30" t="s">
        <v>44</v>
      </c>
      <c r="W517" s="174" t="s">
        <v>44</v>
      </c>
      <c r="X517" s="106" t="s">
        <v>45</v>
      </c>
      <c r="Y517" s="106" t="s">
        <v>47</v>
      </c>
      <c r="Z517" s="106" t="s">
        <v>27</v>
      </c>
      <c r="AA517" s="106" t="s">
        <v>619</v>
      </c>
    </row>
    <row r="518" spans="2:27" ht="15.75" x14ac:dyDescent="0.25">
      <c r="B518" s="174"/>
      <c r="C518" s="174" t="str">
        <f>TEXT(data[[#This Row],[Fecha de Envío
Cotización]],"MMMM")</f>
        <v>marzo</v>
      </c>
      <c r="D518" s="174">
        <v>44273</v>
      </c>
      <c r="E518" s="174">
        <v>44273</v>
      </c>
      <c r="F518" s="174">
        <v>44273</v>
      </c>
      <c r="G518" s="109" t="s">
        <v>1470</v>
      </c>
      <c r="H518" s="174"/>
      <c r="I518" s="86">
        <v>511615</v>
      </c>
      <c r="J518" s="88" t="s">
        <v>620</v>
      </c>
      <c r="K518" s="112" t="s">
        <v>100</v>
      </c>
      <c r="L518" s="106"/>
      <c r="M518" s="108" t="s">
        <v>621</v>
      </c>
      <c r="N518" s="106">
        <v>1</v>
      </c>
      <c r="O518" s="107"/>
      <c r="P518" s="27">
        <v>640</v>
      </c>
      <c r="Q518" s="28">
        <f>data[[#This Row],[Costo Producto
Proveedor ($/Unid)]]*data[[#This Row],[Cantidad]]</f>
        <v>0</v>
      </c>
      <c r="R518" s="120">
        <f>data[[#This Row],[Cantidad]]*data[[#This Row],[Precio de Venta Cliente ($/Unid)]]</f>
        <v>640</v>
      </c>
      <c r="S518" s="29"/>
      <c r="T518" s="106" t="s">
        <v>22</v>
      </c>
      <c r="U518" s="106"/>
      <c r="V518" s="30" t="s">
        <v>44</v>
      </c>
      <c r="W518" s="32" t="s">
        <v>44</v>
      </c>
      <c r="X518" s="106" t="s">
        <v>45</v>
      </c>
      <c r="Y518" s="106" t="s">
        <v>47</v>
      </c>
      <c r="Z518" s="106" t="s">
        <v>27</v>
      </c>
      <c r="AA518" s="106"/>
    </row>
    <row r="519" spans="2:27" x14ac:dyDescent="0.25">
      <c r="B519" s="174"/>
      <c r="C519" s="174" t="str">
        <f>TEXT(data[[#This Row],[Fecha de Envío
Cotización]],"MMMM")</f>
        <v>marzo</v>
      </c>
      <c r="D519" s="174">
        <v>44274</v>
      </c>
      <c r="E519" s="174">
        <v>44281</v>
      </c>
      <c r="F519" s="174">
        <v>44294</v>
      </c>
      <c r="G519" s="109">
        <v>4501485454</v>
      </c>
      <c r="H519" s="174"/>
      <c r="I519" s="86">
        <v>511618</v>
      </c>
      <c r="J519" s="87">
        <v>25399</v>
      </c>
      <c r="K519" s="24" t="s">
        <v>76</v>
      </c>
      <c r="L519" s="106"/>
      <c r="M519" s="108" t="s">
        <v>1469</v>
      </c>
      <c r="N519" s="106">
        <v>1</v>
      </c>
      <c r="O519" s="107"/>
      <c r="P519" s="27">
        <v>2126.66</v>
      </c>
      <c r="Q519" s="28">
        <f>data[[#This Row],[Costo Producto
Proveedor ($/Unid)]]*data[[#This Row],[Cantidad]]</f>
        <v>0</v>
      </c>
      <c r="R519" s="121">
        <f>data[[#This Row],[Cantidad]]*data[[#This Row],[Precio de Venta Cliente ($/Unid)]]</f>
        <v>2126.66</v>
      </c>
      <c r="S519" s="29"/>
      <c r="T519" s="31" t="s">
        <v>36</v>
      </c>
      <c r="U519" s="106"/>
      <c r="V519" s="30" t="s">
        <v>44</v>
      </c>
      <c r="W519" s="32" t="s">
        <v>44</v>
      </c>
      <c r="X519" s="106" t="s">
        <v>45</v>
      </c>
      <c r="Y519" s="106" t="s">
        <v>503</v>
      </c>
      <c r="Z519" s="106" t="s">
        <v>27</v>
      </c>
      <c r="AA519" s="106"/>
    </row>
    <row r="520" spans="2:27" x14ac:dyDescent="0.25">
      <c r="B520" s="174"/>
      <c r="C520" s="174" t="str">
        <f>TEXT(data[[#This Row],[Fecha de Envío
Cotización]],"MMMM")</f>
        <v>marzo</v>
      </c>
      <c r="D520" s="174">
        <v>44277</v>
      </c>
      <c r="E520" s="174">
        <v>44281</v>
      </c>
      <c r="F520" s="174">
        <v>44281</v>
      </c>
      <c r="G520" s="109" t="s">
        <v>1470</v>
      </c>
      <c r="H520" s="174"/>
      <c r="I520" s="86">
        <v>511632</v>
      </c>
      <c r="J520" s="87">
        <v>26300</v>
      </c>
      <c r="K520" s="24" t="s">
        <v>76</v>
      </c>
      <c r="L520" s="106"/>
      <c r="M520" s="108" t="s">
        <v>622</v>
      </c>
      <c r="N520" s="106">
        <v>20</v>
      </c>
      <c r="O520" s="107"/>
      <c r="P520" s="27">
        <v>13.55</v>
      </c>
      <c r="Q520" s="28">
        <f>data[[#This Row],[Costo Producto
Proveedor ($/Unid)]]*data[[#This Row],[Cantidad]]</f>
        <v>0</v>
      </c>
      <c r="R520" s="120">
        <f>data[[#This Row],[Cantidad]]*data[[#This Row],[Precio de Venta Cliente ($/Unid)]]</f>
        <v>271</v>
      </c>
      <c r="S520" s="29"/>
      <c r="T520" s="106" t="s">
        <v>22</v>
      </c>
      <c r="U520" s="106"/>
      <c r="V520" s="30" t="s">
        <v>44</v>
      </c>
      <c r="W520" s="174" t="s">
        <v>44</v>
      </c>
      <c r="X520" s="106" t="s">
        <v>45</v>
      </c>
      <c r="Y520" s="106" t="s">
        <v>503</v>
      </c>
      <c r="Z520" s="106" t="s">
        <v>27</v>
      </c>
      <c r="AA520" s="106"/>
    </row>
    <row r="521" spans="2:27" x14ac:dyDescent="0.25">
      <c r="B521" s="174"/>
      <c r="C521" s="174" t="str">
        <f>TEXT(data[[#This Row],[Fecha de Envío
Cotización]],"MMMM")</f>
        <v>marzo</v>
      </c>
      <c r="D521" s="174">
        <v>44277</v>
      </c>
      <c r="E521" s="174">
        <v>44281</v>
      </c>
      <c r="F521" s="174">
        <v>44281</v>
      </c>
      <c r="G521" s="109" t="s">
        <v>1470</v>
      </c>
      <c r="H521" s="174"/>
      <c r="I521" s="86">
        <v>511633</v>
      </c>
      <c r="J521" s="87">
        <v>26300</v>
      </c>
      <c r="K521" s="24" t="s">
        <v>76</v>
      </c>
      <c r="L521" s="106"/>
      <c r="M521" s="108" t="s">
        <v>623</v>
      </c>
      <c r="N521" s="106">
        <v>2</v>
      </c>
      <c r="O521" s="107"/>
      <c r="P521" s="27">
        <v>59.31</v>
      </c>
      <c r="Q521" s="28">
        <f>data[[#This Row],[Costo Producto
Proveedor ($/Unid)]]*data[[#This Row],[Cantidad]]</f>
        <v>0</v>
      </c>
      <c r="R521" s="120">
        <f>data[[#This Row],[Cantidad]]*data[[#This Row],[Precio de Venta Cliente ($/Unid)]]</f>
        <v>118.62</v>
      </c>
      <c r="S521" s="29"/>
      <c r="T521" s="106" t="s">
        <v>22</v>
      </c>
      <c r="U521" s="106"/>
      <c r="V521" s="30" t="s">
        <v>44</v>
      </c>
      <c r="W521" s="174" t="s">
        <v>44</v>
      </c>
      <c r="X521" s="106" t="s">
        <v>45</v>
      </c>
      <c r="Y521" s="106" t="s">
        <v>503</v>
      </c>
      <c r="Z521" s="106" t="s">
        <v>27</v>
      </c>
      <c r="AA521" s="106"/>
    </row>
    <row r="522" spans="2:27" x14ac:dyDescent="0.25">
      <c r="B522" s="174"/>
      <c r="C522" s="174" t="str">
        <f>TEXT(data[[#This Row],[Fecha de Envío
Cotización]],"MMMM")</f>
        <v>marzo</v>
      </c>
      <c r="D522" s="174">
        <v>44277</v>
      </c>
      <c r="E522" s="174">
        <v>44281</v>
      </c>
      <c r="F522" s="174">
        <v>44281</v>
      </c>
      <c r="G522" s="109" t="s">
        <v>1470</v>
      </c>
      <c r="H522" s="174"/>
      <c r="I522" s="86">
        <v>511634</v>
      </c>
      <c r="J522" s="87">
        <v>26300</v>
      </c>
      <c r="K522" s="24" t="s">
        <v>76</v>
      </c>
      <c r="L522" s="106"/>
      <c r="M522" s="108" t="s">
        <v>624</v>
      </c>
      <c r="N522" s="106">
        <v>5</v>
      </c>
      <c r="O522" s="107"/>
      <c r="P522" s="27">
        <v>59.31</v>
      </c>
      <c r="Q522" s="28">
        <f>data[[#This Row],[Costo Producto
Proveedor ($/Unid)]]*data[[#This Row],[Cantidad]]</f>
        <v>0</v>
      </c>
      <c r="R522" s="120">
        <f>data[[#This Row],[Cantidad]]*data[[#This Row],[Precio de Venta Cliente ($/Unid)]]</f>
        <v>296.55</v>
      </c>
      <c r="S522" s="29"/>
      <c r="T522" s="106" t="s">
        <v>22</v>
      </c>
      <c r="U522" s="106"/>
      <c r="V522" s="30" t="s">
        <v>44</v>
      </c>
      <c r="W522" s="174" t="s">
        <v>44</v>
      </c>
      <c r="X522" s="106" t="s">
        <v>45</v>
      </c>
      <c r="Y522" s="106" t="s">
        <v>503</v>
      </c>
      <c r="Z522" s="106" t="s">
        <v>27</v>
      </c>
      <c r="AA522" s="106"/>
    </row>
    <row r="523" spans="2:27" ht="15.75" x14ac:dyDescent="0.25">
      <c r="B523" s="174"/>
      <c r="C523" s="174" t="str">
        <f>TEXT(data[[#This Row],[Fecha de Envío
Cotización]],"MMMM")</f>
        <v>marzo</v>
      </c>
      <c r="D523" s="174">
        <v>44279</v>
      </c>
      <c r="E523" s="174">
        <v>44279</v>
      </c>
      <c r="F523" s="174">
        <v>44279</v>
      </c>
      <c r="G523" s="109" t="s">
        <v>1470</v>
      </c>
      <c r="H523" s="174"/>
      <c r="I523" s="86">
        <v>511676</v>
      </c>
      <c r="J523" s="87" t="s">
        <v>620</v>
      </c>
      <c r="K523" s="112" t="s">
        <v>101</v>
      </c>
      <c r="L523" s="106"/>
      <c r="M523" s="108" t="s">
        <v>621</v>
      </c>
      <c r="N523" s="106">
        <v>1</v>
      </c>
      <c r="O523" s="107"/>
      <c r="P523" s="27">
        <v>640</v>
      </c>
      <c r="Q523" s="28">
        <f>data[[#This Row],[Costo Producto
Proveedor ($/Unid)]]*data[[#This Row],[Cantidad]]</f>
        <v>0</v>
      </c>
      <c r="R523" s="28">
        <f>data[[#This Row],[Cantidad]]*data[[#This Row],[Precio de Venta Cliente ($/Unid)]]</f>
        <v>640</v>
      </c>
      <c r="S523" s="29"/>
      <c r="T523" s="106" t="s">
        <v>22</v>
      </c>
      <c r="U523" s="106"/>
      <c r="V523" s="30" t="s">
        <v>44</v>
      </c>
      <c r="W523" s="32" t="s">
        <v>44</v>
      </c>
      <c r="X523" s="106" t="s">
        <v>45</v>
      </c>
      <c r="Y523" s="106" t="s">
        <v>47</v>
      </c>
      <c r="Z523" s="106" t="s">
        <v>27</v>
      </c>
      <c r="AA523" s="106"/>
    </row>
    <row r="524" spans="2:27" x14ac:dyDescent="0.25">
      <c r="B524" s="174"/>
      <c r="C524" s="174" t="str">
        <f>TEXT(data[[#This Row],[Fecha de Envío
Cotización]],"MMMM")</f>
        <v>marzo</v>
      </c>
      <c r="D524" s="174">
        <v>44279</v>
      </c>
      <c r="E524" s="174" t="str">
        <f>IF(data[[#This Row],[Estatus de 
Cotización]]="PERDIDO","N/A","")</f>
        <v>N/A</v>
      </c>
      <c r="F524" s="174"/>
      <c r="G524" s="109"/>
      <c r="H524" s="174"/>
      <c r="I524" s="86">
        <v>511677</v>
      </c>
      <c r="J524" s="87">
        <v>262914</v>
      </c>
      <c r="K524" s="24" t="s">
        <v>130</v>
      </c>
      <c r="L524" s="106"/>
      <c r="M524" s="108" t="s">
        <v>626</v>
      </c>
      <c r="N524" s="106">
        <v>1</v>
      </c>
      <c r="O524" s="107"/>
      <c r="P524" s="27">
        <v>360</v>
      </c>
      <c r="Q524" s="28">
        <f>data[[#This Row],[Costo Producto
Proveedor ($/Unid)]]*data[[#This Row],[Cantidad]]</f>
        <v>0</v>
      </c>
      <c r="R524" s="28">
        <f>data[[#This Row],[Cantidad]]*data[[#This Row],[Precio de Venta Cliente ($/Unid)]]</f>
        <v>360</v>
      </c>
      <c r="S524" s="29"/>
      <c r="T524" s="106" t="s">
        <v>16</v>
      </c>
      <c r="U524" s="106"/>
      <c r="V524" s="30" t="s">
        <v>42</v>
      </c>
      <c r="W524" s="32" t="s">
        <v>42</v>
      </c>
      <c r="X524" s="106" t="s">
        <v>23</v>
      </c>
      <c r="Y524" s="106" t="s">
        <v>23</v>
      </c>
      <c r="Z524" s="106" t="s">
        <v>27</v>
      </c>
      <c r="AA524" s="106" t="s">
        <v>131</v>
      </c>
    </row>
    <row r="525" spans="2:27" x14ac:dyDescent="0.25">
      <c r="B525" s="174"/>
      <c r="C525" s="174" t="str">
        <f>TEXT(data[[#This Row],[Fecha de Envío
Cotización]],"MMMM")</f>
        <v>marzo</v>
      </c>
      <c r="D525" s="174">
        <v>44279</v>
      </c>
      <c r="E525" s="174" t="str">
        <f>IF(data[[#This Row],[Estatus de 
Cotización]]="PERDIDO","N/A","")</f>
        <v>N/A</v>
      </c>
      <c r="F525" s="174"/>
      <c r="G525" s="109"/>
      <c r="H525" s="174"/>
      <c r="I525" s="86">
        <v>511678</v>
      </c>
      <c r="J525" s="87">
        <v>262913</v>
      </c>
      <c r="K525" s="24" t="s">
        <v>130</v>
      </c>
      <c r="L525" s="106"/>
      <c r="M525" s="108" t="s">
        <v>627</v>
      </c>
      <c r="N525" s="106">
        <v>5</v>
      </c>
      <c r="O525" s="107"/>
      <c r="P525" s="27">
        <v>27.79</v>
      </c>
      <c r="Q525" s="28">
        <f>data[[#This Row],[Costo Producto
Proveedor ($/Unid)]]*data[[#This Row],[Cantidad]]</f>
        <v>0</v>
      </c>
      <c r="R525" s="28">
        <f>data[[#This Row],[Cantidad]]*data[[#This Row],[Precio de Venta Cliente ($/Unid)]]</f>
        <v>138.94999999999999</v>
      </c>
      <c r="S525" s="29"/>
      <c r="T525" s="106" t="s">
        <v>16</v>
      </c>
      <c r="U525" s="106"/>
      <c r="V525" s="30" t="s">
        <v>42</v>
      </c>
      <c r="W525" s="32" t="s">
        <v>42</v>
      </c>
      <c r="X525" s="106" t="s">
        <v>23</v>
      </c>
      <c r="Y525" s="106" t="s">
        <v>23</v>
      </c>
      <c r="Z525" s="106" t="s">
        <v>27</v>
      </c>
      <c r="AA525" s="106"/>
    </row>
    <row r="526" spans="2:27" ht="15.75" x14ac:dyDescent="0.25">
      <c r="B526" s="174"/>
      <c r="C526" s="174" t="str">
        <f>TEXT(data[[#This Row],[Fecha de Envío
Cotización]],"MMMM")</f>
        <v>marzo</v>
      </c>
      <c r="D526" s="174">
        <v>44279</v>
      </c>
      <c r="E526" s="174" t="str">
        <f>IF(data[[#This Row],[Estatus de 
Cotización]]="PERDIDO","N/A","")</f>
        <v>N/A</v>
      </c>
      <c r="F526" s="174"/>
      <c r="G526" s="109"/>
      <c r="H526" s="174"/>
      <c r="I526" s="86">
        <v>511679</v>
      </c>
      <c r="J526" s="87">
        <v>262909</v>
      </c>
      <c r="K526" s="24" t="s">
        <v>130</v>
      </c>
      <c r="L526" s="106"/>
      <c r="M526" s="108" t="s">
        <v>633</v>
      </c>
      <c r="N526" s="106">
        <v>1</v>
      </c>
      <c r="O526" s="107"/>
      <c r="P526" s="27">
        <v>333.5</v>
      </c>
      <c r="Q526" s="28">
        <f>data[[#This Row],[Costo Producto
Proveedor ($/Unid)]]*data[[#This Row],[Cantidad]]</f>
        <v>0</v>
      </c>
      <c r="R526" s="28">
        <f>data[[#This Row],[Cantidad]]*data[[#This Row],[Precio de Venta Cliente ($/Unid)]]</f>
        <v>333.5</v>
      </c>
      <c r="S526" s="29"/>
      <c r="T526" s="106" t="s">
        <v>124</v>
      </c>
      <c r="U526" s="106"/>
      <c r="V526" s="30" t="s">
        <v>42</v>
      </c>
      <c r="W526" s="32" t="s">
        <v>42</v>
      </c>
      <c r="X526" s="106" t="s">
        <v>23</v>
      </c>
      <c r="Y526" s="106" t="s">
        <v>23</v>
      </c>
      <c r="Z526" s="106" t="s">
        <v>27</v>
      </c>
      <c r="AA526" s="5" t="s">
        <v>132</v>
      </c>
    </row>
    <row r="527" spans="2:27" ht="15.75" x14ac:dyDescent="0.25">
      <c r="B527" s="99"/>
      <c r="C527" s="174" t="str">
        <f>TEXT(data[[#This Row],[Fecha de Envío
Cotización]],"MMMM")</f>
        <v>marzo</v>
      </c>
      <c r="D527" s="174">
        <v>44281</v>
      </c>
      <c r="E527" s="174" t="str">
        <f>IF(data[[#This Row],[Estatus de 
Cotización]]="PERDIDO","N/A","")</f>
        <v>N/A</v>
      </c>
      <c r="F527" s="99"/>
      <c r="G527" s="109"/>
      <c r="H527" s="99"/>
      <c r="I527" s="86">
        <v>511740</v>
      </c>
      <c r="J527" s="87">
        <v>28655</v>
      </c>
      <c r="K527" s="24" t="s">
        <v>76</v>
      </c>
      <c r="L527" s="22"/>
      <c r="M527" s="105" t="s">
        <v>1062</v>
      </c>
      <c r="N527" s="22">
        <v>32</v>
      </c>
      <c r="O527" s="26"/>
      <c r="P527" s="107">
        <v>28.39</v>
      </c>
      <c r="Q527" s="28">
        <f>data[[#This Row],[Costo Producto
Proveedor ($/Unid)]]*data[[#This Row],[Cantidad]]</f>
        <v>0</v>
      </c>
      <c r="R527" s="28">
        <f>data[[#This Row],[Cantidad]]*data[[#This Row],[Precio de Venta Cliente ($/Unid)]]</f>
        <v>908.48</v>
      </c>
      <c r="S527" s="29"/>
      <c r="T527" s="106" t="s">
        <v>73</v>
      </c>
      <c r="U527" s="106"/>
      <c r="V527" s="30" t="s">
        <v>42</v>
      </c>
      <c r="W527" s="32" t="s">
        <v>42</v>
      </c>
      <c r="X527" s="22" t="s">
        <v>23</v>
      </c>
      <c r="Y527" s="22" t="s">
        <v>23</v>
      </c>
      <c r="Z527" s="22" t="s">
        <v>27</v>
      </c>
      <c r="AA527" s="5"/>
    </row>
    <row r="528" spans="2:27" ht="15.75" x14ac:dyDescent="0.25">
      <c r="B528" s="99"/>
      <c r="C528" s="174" t="str">
        <f>TEXT(data[[#This Row],[Fecha de Envío
Cotización]],"MMMM")</f>
        <v>marzo</v>
      </c>
      <c r="D528" s="44">
        <v>44281</v>
      </c>
      <c r="E528" s="174" t="str">
        <f>IF(data[[#This Row],[Estatus de 
Cotización]]="PERDIDO","N/A","")</f>
        <v>N/A</v>
      </c>
      <c r="F528" s="99"/>
      <c r="G528" s="109"/>
      <c r="H528" s="99"/>
      <c r="I528" s="86">
        <v>511741</v>
      </c>
      <c r="J528" s="87">
        <v>29655</v>
      </c>
      <c r="K528" s="24" t="s">
        <v>76</v>
      </c>
      <c r="L528" s="22"/>
      <c r="M528" s="105" t="s">
        <v>1063</v>
      </c>
      <c r="N528" s="22">
        <v>24</v>
      </c>
      <c r="O528" s="26"/>
      <c r="P528" s="107">
        <v>94.05</v>
      </c>
      <c r="Q528" s="28">
        <f>data[[#This Row],[Costo Producto
Proveedor ($/Unid)]]*data[[#This Row],[Cantidad]]</f>
        <v>0</v>
      </c>
      <c r="R528" s="28">
        <f>data[[#This Row],[Cantidad]]*data[[#This Row],[Precio de Venta Cliente ($/Unid)]]</f>
        <v>2257.1999999999998</v>
      </c>
      <c r="S528" s="29"/>
      <c r="T528" s="106" t="s">
        <v>73</v>
      </c>
      <c r="U528" s="106"/>
      <c r="V528" s="30" t="s">
        <v>42</v>
      </c>
      <c r="W528" s="32" t="s">
        <v>42</v>
      </c>
      <c r="X528" s="22" t="s">
        <v>23</v>
      </c>
      <c r="Y528" s="22" t="s">
        <v>23</v>
      </c>
      <c r="Z528" s="22" t="s">
        <v>27</v>
      </c>
      <c r="AA528" s="5"/>
    </row>
    <row r="529" spans="2:27" x14ac:dyDescent="0.25">
      <c r="B529" s="99"/>
      <c r="C529" s="174" t="str">
        <f>TEXT(data[[#This Row],[Fecha de Envío
Cotización]],"MMMM")</f>
        <v>abril</v>
      </c>
      <c r="D529" s="174">
        <v>44293</v>
      </c>
      <c r="E529" s="174" t="str">
        <f>IF(data[[#This Row],[Estatus de 
Cotización]]="PERDIDO","N/A","")</f>
        <v>N/A</v>
      </c>
      <c r="F529" s="99"/>
      <c r="G529" s="109"/>
      <c r="H529" s="99"/>
      <c r="I529" s="86">
        <v>511793</v>
      </c>
      <c r="J529" s="87">
        <v>362914</v>
      </c>
      <c r="K529" s="24" t="s">
        <v>129</v>
      </c>
      <c r="L529" s="22"/>
      <c r="M529" s="108" t="s">
        <v>642</v>
      </c>
      <c r="N529" s="22">
        <v>3</v>
      </c>
      <c r="O529" s="26"/>
      <c r="P529" s="27">
        <v>2325</v>
      </c>
      <c r="Q529" s="28">
        <f>data[[#This Row],[Costo Producto
Proveedor ($/Unid)]]*data[[#This Row],[Cantidad]]</f>
        <v>0</v>
      </c>
      <c r="R529" s="28">
        <f>data[[#This Row],[Cantidad]]*data[[#This Row],[Precio de Venta Cliente ($/Unid)]]</f>
        <v>6975</v>
      </c>
      <c r="S529" s="29"/>
      <c r="T529" s="106" t="s">
        <v>16</v>
      </c>
      <c r="U529" s="106"/>
      <c r="V529" s="30" t="s">
        <v>42</v>
      </c>
      <c r="W529" s="32" t="s">
        <v>42</v>
      </c>
      <c r="X529" s="22" t="s">
        <v>23</v>
      </c>
      <c r="Y529" s="22" t="s">
        <v>23</v>
      </c>
      <c r="Z529" s="22" t="s">
        <v>27</v>
      </c>
      <c r="AA529" s="106"/>
    </row>
    <row r="530" spans="2:27" x14ac:dyDescent="0.25">
      <c r="B530" s="99"/>
      <c r="C530" s="174" t="str">
        <f>TEXT(data[[#This Row],[Fecha de Envío
Cotización]],"MMMM")</f>
        <v>abril</v>
      </c>
      <c r="D530" s="174">
        <v>44293</v>
      </c>
      <c r="E530" s="174" t="str">
        <f>IF(data[[#This Row],[Estatus de 
Cotización]]="PERDIDO","N/A","")</f>
        <v>N/A</v>
      </c>
      <c r="F530" s="99"/>
      <c r="G530" s="109"/>
      <c r="H530" s="99"/>
      <c r="I530" s="86">
        <v>511794</v>
      </c>
      <c r="J530" s="87">
        <v>362915</v>
      </c>
      <c r="K530" s="24" t="s">
        <v>129</v>
      </c>
      <c r="L530" s="22"/>
      <c r="M530" s="108" t="s">
        <v>643</v>
      </c>
      <c r="N530" s="22">
        <v>10</v>
      </c>
      <c r="O530" s="26"/>
      <c r="P530" s="27">
        <v>3.64</v>
      </c>
      <c r="Q530" s="28">
        <f>data[[#This Row],[Costo Producto
Proveedor ($/Unid)]]*data[[#This Row],[Cantidad]]</f>
        <v>0</v>
      </c>
      <c r="R530" s="28">
        <f>data[[#This Row],[Cantidad]]*data[[#This Row],[Precio de Venta Cliente ($/Unid)]]</f>
        <v>36.4</v>
      </c>
      <c r="S530" s="29"/>
      <c r="T530" s="106" t="s">
        <v>16</v>
      </c>
      <c r="U530" s="106"/>
      <c r="V530" s="30" t="s">
        <v>42</v>
      </c>
      <c r="W530" s="32" t="s">
        <v>42</v>
      </c>
      <c r="X530" s="22" t="s">
        <v>23</v>
      </c>
      <c r="Y530" s="22" t="s">
        <v>23</v>
      </c>
      <c r="Z530" s="22" t="s">
        <v>27</v>
      </c>
      <c r="AA530" s="106"/>
    </row>
    <row r="531" spans="2:27" x14ac:dyDescent="0.25">
      <c r="B531" s="174"/>
      <c r="C531" s="174" t="str">
        <f>TEXT(data[[#This Row],[Fecha de Envío
Cotización]],"MMMM")</f>
        <v>abril</v>
      </c>
      <c r="D531" s="174">
        <v>44298</v>
      </c>
      <c r="E531" s="174" t="str">
        <f>IF(data[[#This Row],[Estatus de 
Cotización]]="PERDIDO","N/A","")</f>
        <v>N/A</v>
      </c>
      <c r="F531" s="174"/>
      <c r="G531" s="109"/>
      <c r="H531" s="174"/>
      <c r="I531" s="86">
        <v>511824</v>
      </c>
      <c r="J531" s="87">
        <v>35005</v>
      </c>
      <c r="K531" s="24" t="s">
        <v>128</v>
      </c>
      <c r="L531" s="106"/>
      <c r="M531" s="108" t="s">
        <v>645</v>
      </c>
      <c r="N531" s="106">
        <v>5</v>
      </c>
      <c r="O531" s="107"/>
      <c r="P531" s="27">
        <v>242.87</v>
      </c>
      <c r="Q531" s="28">
        <f>data[[#This Row],[Costo Producto
Proveedor ($/Unid)]]*data[[#This Row],[Cantidad]]</f>
        <v>0</v>
      </c>
      <c r="R531" s="28">
        <f>data[[#This Row],[Cantidad]]*data[[#This Row],[Precio de Venta Cliente ($/Unid)]]</f>
        <v>1214.3499999999999</v>
      </c>
      <c r="S531" s="29"/>
      <c r="T531" s="31" t="s">
        <v>16</v>
      </c>
      <c r="U531" s="106"/>
      <c r="V531" s="30" t="s">
        <v>42</v>
      </c>
      <c r="W531" s="32" t="s">
        <v>42</v>
      </c>
      <c r="X531" s="106" t="s">
        <v>23</v>
      </c>
      <c r="Y531" s="106" t="s">
        <v>23</v>
      </c>
      <c r="Z531" s="106" t="s">
        <v>27</v>
      </c>
      <c r="AA531" s="106"/>
    </row>
    <row r="532" spans="2:27" x14ac:dyDescent="0.25">
      <c r="B532" s="174"/>
      <c r="C532" s="174" t="str">
        <f>TEXT(data[[#This Row],[Fecha de Envío
Cotización]],"MMMM")</f>
        <v>abril</v>
      </c>
      <c r="D532" s="174">
        <v>44298</v>
      </c>
      <c r="E532" s="174" t="str">
        <f>IF(data[[#This Row],[Estatus de 
Cotización]]="PERDIDO","N/A","")</f>
        <v>N/A</v>
      </c>
      <c r="F532" s="174"/>
      <c r="G532" s="109"/>
      <c r="H532" s="174"/>
      <c r="I532" s="86">
        <v>511825</v>
      </c>
      <c r="J532" s="87">
        <v>35005</v>
      </c>
      <c r="K532" s="24" t="s">
        <v>128</v>
      </c>
      <c r="L532" s="106"/>
      <c r="M532" s="108" t="s">
        <v>646</v>
      </c>
      <c r="N532" s="106">
        <v>10</v>
      </c>
      <c r="O532" s="107"/>
      <c r="P532" s="27">
        <v>215.58</v>
      </c>
      <c r="Q532" s="28">
        <f>data[[#This Row],[Costo Producto
Proveedor ($/Unid)]]*data[[#This Row],[Cantidad]]</f>
        <v>0</v>
      </c>
      <c r="R532" s="28">
        <f>data[[#This Row],[Cantidad]]*data[[#This Row],[Precio de Venta Cliente ($/Unid)]]</f>
        <v>2155.8000000000002</v>
      </c>
      <c r="S532" s="29"/>
      <c r="T532" s="106" t="s">
        <v>16</v>
      </c>
      <c r="U532" s="106"/>
      <c r="V532" s="30" t="s">
        <v>42</v>
      </c>
      <c r="W532" s="32" t="s">
        <v>42</v>
      </c>
      <c r="X532" s="106" t="s">
        <v>23</v>
      </c>
      <c r="Y532" s="106" t="s">
        <v>23</v>
      </c>
      <c r="Z532" s="106" t="s">
        <v>27</v>
      </c>
      <c r="AA532" s="106"/>
    </row>
    <row r="533" spans="2:27" x14ac:dyDescent="0.25">
      <c r="B533" s="174"/>
      <c r="C533" s="174" t="str">
        <f>TEXT(data[[#This Row],[Fecha de Envío
Cotización]],"MMMM")</f>
        <v>abril</v>
      </c>
      <c r="D533" s="174">
        <v>44298</v>
      </c>
      <c r="E533" s="174" t="str">
        <f>IF(data[[#This Row],[Estatus de 
Cotización]]="PERDIDO","N/A","")</f>
        <v>N/A</v>
      </c>
      <c r="F533" s="174"/>
      <c r="G533" s="109"/>
      <c r="H533" s="174"/>
      <c r="I533" s="86">
        <v>511826</v>
      </c>
      <c r="J533" s="87">
        <v>35005</v>
      </c>
      <c r="K533" s="24" t="s">
        <v>128</v>
      </c>
      <c r="L533" s="106"/>
      <c r="M533" s="108" t="s">
        <v>646</v>
      </c>
      <c r="N533" s="106">
        <v>6</v>
      </c>
      <c r="O533" s="107"/>
      <c r="P533" s="27">
        <v>232.72</v>
      </c>
      <c r="Q533" s="28">
        <f>data[[#This Row],[Costo Producto
Proveedor ($/Unid)]]*data[[#This Row],[Cantidad]]</f>
        <v>0</v>
      </c>
      <c r="R533" s="28">
        <f>data[[#This Row],[Cantidad]]*data[[#This Row],[Precio de Venta Cliente ($/Unid)]]</f>
        <v>1396.32</v>
      </c>
      <c r="S533" s="29"/>
      <c r="T533" s="31" t="s">
        <v>16</v>
      </c>
      <c r="U533" s="106"/>
      <c r="V533" s="30" t="s">
        <v>42</v>
      </c>
      <c r="W533" s="32" t="s">
        <v>42</v>
      </c>
      <c r="X533" s="106" t="s">
        <v>23</v>
      </c>
      <c r="Y533" s="106" t="s">
        <v>23</v>
      </c>
      <c r="Z533" s="106" t="s">
        <v>27</v>
      </c>
      <c r="AA533" s="106"/>
    </row>
    <row r="534" spans="2:27" x14ac:dyDescent="0.25">
      <c r="B534" s="174"/>
      <c r="C534" s="174" t="str">
        <f>TEXT(data[[#This Row],[Fecha de Envío
Cotización]],"MMMM")</f>
        <v>abril</v>
      </c>
      <c r="D534" s="174">
        <v>44298</v>
      </c>
      <c r="E534" s="174" t="str">
        <f>IF(data[[#This Row],[Estatus de 
Cotización]]="PERDIDO","N/A","")</f>
        <v>N/A</v>
      </c>
      <c r="F534" s="174"/>
      <c r="G534" s="109"/>
      <c r="H534" s="174"/>
      <c r="I534" s="86">
        <v>511827</v>
      </c>
      <c r="J534" s="87">
        <v>35005</v>
      </c>
      <c r="K534" s="24" t="s">
        <v>128</v>
      </c>
      <c r="L534" s="106"/>
      <c r="M534" s="108" t="s">
        <v>647</v>
      </c>
      <c r="N534" s="106">
        <v>6</v>
      </c>
      <c r="O534" s="107"/>
      <c r="P534" s="27">
        <v>338.21</v>
      </c>
      <c r="Q534" s="28">
        <f>data[[#This Row],[Costo Producto
Proveedor ($/Unid)]]*data[[#This Row],[Cantidad]]</f>
        <v>0</v>
      </c>
      <c r="R534" s="28">
        <f>data[[#This Row],[Cantidad]]*data[[#This Row],[Precio de Venta Cliente ($/Unid)]]</f>
        <v>2029.2599999999998</v>
      </c>
      <c r="S534" s="29"/>
      <c r="T534" s="31" t="s">
        <v>16</v>
      </c>
      <c r="U534" s="106"/>
      <c r="V534" s="30" t="s">
        <v>42</v>
      </c>
      <c r="W534" s="32" t="s">
        <v>42</v>
      </c>
      <c r="X534" s="106" t="s">
        <v>23</v>
      </c>
      <c r="Y534" s="106" t="s">
        <v>23</v>
      </c>
      <c r="Z534" s="106" t="s">
        <v>27</v>
      </c>
      <c r="AA534" s="106"/>
    </row>
    <row r="535" spans="2:27" x14ac:dyDescent="0.25">
      <c r="B535" s="174"/>
      <c r="C535" s="174" t="str">
        <f>TEXT(data[[#This Row],[Fecha de Envío
Cotización]],"MMMM")</f>
        <v>abril</v>
      </c>
      <c r="D535" s="174">
        <v>44298</v>
      </c>
      <c r="E535" s="174" t="str">
        <f>IF(data[[#This Row],[Estatus de 
Cotización]]="PERDIDO","N/A","")</f>
        <v>N/A</v>
      </c>
      <c r="F535" s="174"/>
      <c r="G535" s="109"/>
      <c r="H535" s="174"/>
      <c r="I535" s="86">
        <v>511828</v>
      </c>
      <c r="J535" s="87">
        <v>35005</v>
      </c>
      <c r="K535" s="24" t="s">
        <v>128</v>
      </c>
      <c r="L535" s="106"/>
      <c r="M535" s="108" t="s">
        <v>648</v>
      </c>
      <c r="N535" s="106">
        <v>50</v>
      </c>
      <c r="O535" s="107"/>
      <c r="P535" s="27">
        <v>6.36</v>
      </c>
      <c r="Q535" s="28">
        <f>data[[#This Row],[Costo Producto
Proveedor ($/Unid)]]*data[[#This Row],[Cantidad]]</f>
        <v>0</v>
      </c>
      <c r="R535" s="28">
        <f>data[[#This Row],[Cantidad]]*data[[#This Row],[Precio de Venta Cliente ($/Unid)]]</f>
        <v>318</v>
      </c>
      <c r="S535" s="29"/>
      <c r="T535" s="106" t="s">
        <v>16</v>
      </c>
      <c r="U535" s="106"/>
      <c r="V535" s="30" t="s">
        <v>42</v>
      </c>
      <c r="W535" s="32" t="s">
        <v>42</v>
      </c>
      <c r="X535" s="106" t="s">
        <v>23</v>
      </c>
      <c r="Y535" s="106" t="s">
        <v>23</v>
      </c>
      <c r="Z535" s="106" t="s">
        <v>27</v>
      </c>
      <c r="AA535" s="106"/>
    </row>
    <row r="536" spans="2:27" x14ac:dyDescent="0.25">
      <c r="B536" s="174"/>
      <c r="C536" s="174" t="str">
        <f>TEXT(data[[#This Row],[Fecha de Envío
Cotización]],"MMMM")</f>
        <v>abril</v>
      </c>
      <c r="D536" s="124">
        <v>44299</v>
      </c>
      <c r="E536" s="174">
        <v>44301</v>
      </c>
      <c r="F536" s="174">
        <v>44301</v>
      </c>
      <c r="G536" s="109">
        <v>4501495761</v>
      </c>
      <c r="H536" s="174">
        <v>44300</v>
      </c>
      <c r="I536" s="86">
        <v>511831</v>
      </c>
      <c r="J536" s="87">
        <v>36405</v>
      </c>
      <c r="K536" s="24" t="s">
        <v>76</v>
      </c>
      <c r="L536" s="106"/>
      <c r="M536" s="108" t="s">
        <v>649</v>
      </c>
      <c r="N536" s="106">
        <v>20</v>
      </c>
      <c r="O536" s="107"/>
      <c r="P536" s="27">
        <v>10.029999999999999</v>
      </c>
      <c r="Q536" s="28">
        <f>data[[#This Row],[Costo Producto
Proveedor ($/Unid)]]*data[[#This Row],[Cantidad]]</f>
        <v>0</v>
      </c>
      <c r="R536" s="120">
        <f>data[[#This Row],[Cantidad]]*data[[#This Row],[Precio de Venta Cliente ($/Unid)]]</f>
        <v>200.6</v>
      </c>
      <c r="S536" s="29"/>
      <c r="T536" s="106" t="s">
        <v>73</v>
      </c>
      <c r="U536" s="106"/>
      <c r="V536" s="30" t="s">
        <v>44</v>
      </c>
      <c r="W536" s="32" t="s">
        <v>44</v>
      </c>
      <c r="X536" s="106" t="s">
        <v>45</v>
      </c>
      <c r="Y536" s="106" t="s">
        <v>47</v>
      </c>
      <c r="Z536" s="106" t="s">
        <v>27</v>
      </c>
      <c r="AA536" s="106"/>
    </row>
    <row r="537" spans="2:27" x14ac:dyDescent="0.25">
      <c r="B537" s="174"/>
      <c r="C537" s="174" t="str">
        <f>TEXT(data[[#This Row],[Fecha de Envío
Cotización]],"MMMM")</f>
        <v>febrero</v>
      </c>
      <c r="D537" s="174">
        <v>44246</v>
      </c>
      <c r="E537" s="174" t="str">
        <f>IF(data[[#This Row],[Estatus de 
Cotización]]="PERDIDO","N/A","")</f>
        <v>N/A</v>
      </c>
      <c r="F537" s="174"/>
      <c r="G537" s="109"/>
      <c r="H537" s="174"/>
      <c r="I537" s="86">
        <v>511469</v>
      </c>
      <c r="J537" s="87">
        <v>20096</v>
      </c>
      <c r="K537" s="24" t="s">
        <v>1066</v>
      </c>
      <c r="L537" s="106"/>
      <c r="M537" s="105" t="s">
        <v>1064</v>
      </c>
      <c r="N537" s="106">
        <v>2</v>
      </c>
      <c r="O537" s="107"/>
      <c r="P537" s="27">
        <v>360</v>
      </c>
      <c r="Q537" s="28">
        <f>data[[#This Row],[Costo Producto
Proveedor ($/Unid)]]*data[[#This Row],[Cantidad]]</f>
        <v>0</v>
      </c>
      <c r="R537" s="119">
        <f>data[[#This Row],[Cantidad]]*data[[#This Row],[Precio de Venta Cliente ($/Unid)]]</f>
        <v>720</v>
      </c>
      <c r="S537" s="29"/>
      <c r="T537" s="106"/>
      <c r="U537" s="106"/>
      <c r="V537" s="30" t="s">
        <v>42</v>
      </c>
      <c r="W537" s="32" t="s">
        <v>42</v>
      </c>
      <c r="X537" s="106" t="s">
        <v>23</v>
      </c>
      <c r="Y537" s="106" t="s">
        <v>23</v>
      </c>
      <c r="Z537" s="106" t="s">
        <v>50</v>
      </c>
      <c r="AA537" s="106"/>
    </row>
    <row r="538" spans="2:27" x14ac:dyDescent="0.25">
      <c r="B538" s="174"/>
      <c r="C538" s="174" t="str">
        <f>TEXT(data[[#This Row],[Fecha de Envío
Cotización]],"MMMM")</f>
        <v>febrero</v>
      </c>
      <c r="D538" s="174">
        <v>44246</v>
      </c>
      <c r="E538" s="174" t="str">
        <f>IF(data[[#This Row],[Estatus de 
Cotización]]="PERDIDO","N/A","")</f>
        <v>N/A</v>
      </c>
      <c r="F538" s="174"/>
      <c r="G538" s="109"/>
      <c r="H538" s="174"/>
      <c r="I538" s="86">
        <v>511470</v>
      </c>
      <c r="J538" s="87">
        <v>20096</v>
      </c>
      <c r="K538" s="24" t="s">
        <v>1066</v>
      </c>
      <c r="L538" s="106"/>
      <c r="M538" s="105" t="s">
        <v>1065</v>
      </c>
      <c r="N538" s="106">
        <v>2</v>
      </c>
      <c r="O538" s="107"/>
      <c r="P538" s="27">
        <v>821</v>
      </c>
      <c r="Q538" s="28">
        <f>data[[#This Row],[Costo Producto
Proveedor ($/Unid)]]*data[[#This Row],[Cantidad]]</f>
        <v>0</v>
      </c>
      <c r="R538" s="119">
        <f>data[[#This Row],[Cantidad]]*data[[#This Row],[Precio de Venta Cliente ($/Unid)]]</f>
        <v>1642</v>
      </c>
      <c r="S538" s="29"/>
      <c r="T538" s="106"/>
      <c r="U538" s="106"/>
      <c r="V538" s="30" t="s">
        <v>42</v>
      </c>
      <c r="W538" s="32" t="s">
        <v>42</v>
      </c>
      <c r="X538" s="106" t="s">
        <v>23</v>
      </c>
      <c r="Y538" s="106" t="s">
        <v>23</v>
      </c>
      <c r="Z538" s="106" t="s">
        <v>50</v>
      </c>
      <c r="AA538" s="106"/>
    </row>
    <row r="539" spans="2:27" s="38" customFormat="1" x14ac:dyDescent="0.25">
      <c r="B539" s="174"/>
      <c r="C539" s="174" t="str">
        <f>TEXT(data[[#This Row],[Fecha de Envío
Cotización]],"MMMM")</f>
        <v>febrero</v>
      </c>
      <c r="D539" s="174">
        <v>44246</v>
      </c>
      <c r="E539" s="174" t="str">
        <f>IF(data[[#This Row],[Estatus de 
Cotización]]="PERDIDO","N/A","")</f>
        <v>N/A</v>
      </c>
      <c r="F539" s="174"/>
      <c r="G539" s="109"/>
      <c r="H539" s="174"/>
      <c r="I539" s="86">
        <v>511471</v>
      </c>
      <c r="J539" s="87">
        <v>20099</v>
      </c>
      <c r="K539" s="24" t="s">
        <v>126</v>
      </c>
      <c r="L539" s="106"/>
      <c r="M539" s="108" t="s">
        <v>1067</v>
      </c>
      <c r="N539" s="106">
        <v>6</v>
      </c>
      <c r="O539" s="107"/>
      <c r="P539" s="27">
        <v>18.36</v>
      </c>
      <c r="Q539" s="28">
        <f>data[[#This Row],[Costo Producto
Proveedor ($/Unid)]]*data[[#This Row],[Cantidad]]</f>
        <v>0</v>
      </c>
      <c r="R539" s="119">
        <f>data[[#This Row],[Cantidad]]*data[[#This Row],[Precio de Venta Cliente ($/Unid)]]</f>
        <v>110.16</v>
      </c>
      <c r="S539" s="29"/>
      <c r="T539" s="106" t="s">
        <v>16</v>
      </c>
      <c r="U539" s="106"/>
      <c r="V539" s="30" t="s">
        <v>42</v>
      </c>
      <c r="W539" s="32" t="s">
        <v>42</v>
      </c>
      <c r="X539" s="106" t="s">
        <v>23</v>
      </c>
      <c r="Y539" s="106" t="s">
        <v>23</v>
      </c>
      <c r="Z539" s="106" t="s">
        <v>50</v>
      </c>
      <c r="AA539" s="106"/>
    </row>
    <row r="540" spans="2:27" s="38" customFormat="1" x14ac:dyDescent="0.25">
      <c r="B540" s="174"/>
      <c r="C540" s="174" t="str">
        <f>TEXT(data[[#This Row],[Fecha de Envío
Cotización]],"MMMM")</f>
        <v>febrero</v>
      </c>
      <c r="D540" s="174">
        <v>44246</v>
      </c>
      <c r="E540" s="174" t="str">
        <f>IF(data[[#This Row],[Estatus de 
Cotización]]="PERDIDO","N/A","")</f>
        <v>N/A</v>
      </c>
      <c r="F540" s="174"/>
      <c r="G540" s="109"/>
      <c r="H540" s="174"/>
      <c r="I540" s="86">
        <v>511472</v>
      </c>
      <c r="J540" s="87">
        <v>20099</v>
      </c>
      <c r="K540" s="24" t="s">
        <v>126</v>
      </c>
      <c r="L540" s="106"/>
      <c r="M540" s="105" t="s">
        <v>1068</v>
      </c>
      <c r="N540" s="106">
        <v>4</v>
      </c>
      <c r="O540" s="107"/>
      <c r="P540" s="27">
        <v>13.96</v>
      </c>
      <c r="Q540" s="28">
        <f>data[[#This Row],[Costo Producto
Proveedor ($/Unid)]]*data[[#This Row],[Cantidad]]</f>
        <v>0</v>
      </c>
      <c r="R540" s="119">
        <f>data[[#This Row],[Cantidad]]*data[[#This Row],[Precio de Venta Cliente ($/Unid)]]</f>
        <v>55.84</v>
      </c>
      <c r="S540" s="29"/>
      <c r="T540" s="106" t="s">
        <v>16</v>
      </c>
      <c r="U540" s="106"/>
      <c r="V540" s="30" t="s">
        <v>42</v>
      </c>
      <c r="W540" s="32" t="s">
        <v>42</v>
      </c>
      <c r="X540" s="106" t="s">
        <v>23</v>
      </c>
      <c r="Y540" s="106" t="s">
        <v>23</v>
      </c>
      <c r="Z540" s="106" t="s">
        <v>50</v>
      </c>
      <c r="AA540" s="106"/>
    </row>
    <row r="541" spans="2:27" s="38" customFormat="1" x14ac:dyDescent="0.25">
      <c r="B541" s="174"/>
      <c r="C541" s="174" t="str">
        <f>TEXT(data[[#This Row],[Fecha de Envío
Cotización]],"MMMM")</f>
        <v>febrero</v>
      </c>
      <c r="D541" s="174">
        <v>44246</v>
      </c>
      <c r="E541" s="174" t="str">
        <f>IF(data[[#This Row],[Estatus de 
Cotización]]="PERDIDO","N/A","")</f>
        <v>N/A</v>
      </c>
      <c r="F541" s="174"/>
      <c r="G541" s="109"/>
      <c r="H541" s="174"/>
      <c r="I541" s="86">
        <v>511473</v>
      </c>
      <c r="J541" s="87">
        <v>20099</v>
      </c>
      <c r="K541" s="24" t="s">
        <v>126</v>
      </c>
      <c r="L541" s="106"/>
      <c r="M541" s="105" t="s">
        <v>1069</v>
      </c>
      <c r="N541" s="106">
        <v>5</v>
      </c>
      <c r="O541" s="107"/>
      <c r="P541" s="27">
        <v>15.8</v>
      </c>
      <c r="Q541" s="28">
        <f>data[[#This Row],[Costo Producto
Proveedor ($/Unid)]]*data[[#This Row],[Cantidad]]</f>
        <v>0</v>
      </c>
      <c r="R541" s="119">
        <f>data[[#This Row],[Cantidad]]*data[[#This Row],[Precio de Venta Cliente ($/Unid)]]</f>
        <v>79</v>
      </c>
      <c r="S541" s="29"/>
      <c r="T541" s="106" t="s">
        <v>16</v>
      </c>
      <c r="U541" s="106"/>
      <c r="V541" s="30" t="s">
        <v>42</v>
      </c>
      <c r="W541" s="32" t="s">
        <v>42</v>
      </c>
      <c r="X541" s="106" t="s">
        <v>23</v>
      </c>
      <c r="Y541" s="106" t="s">
        <v>23</v>
      </c>
      <c r="Z541" s="106" t="s">
        <v>50</v>
      </c>
      <c r="AA541" s="106"/>
    </row>
    <row r="542" spans="2:27" s="38" customFormat="1" x14ac:dyDescent="0.25">
      <c r="B542" s="174"/>
      <c r="C542" s="174" t="str">
        <f>TEXT(data[[#This Row],[Fecha de Envío
Cotización]],"MMMM")</f>
        <v>febrero</v>
      </c>
      <c r="D542" s="174">
        <v>44246</v>
      </c>
      <c r="E542" s="174" t="str">
        <f>IF(data[[#This Row],[Estatus de 
Cotización]]="PERDIDO","N/A","")</f>
        <v>N/A</v>
      </c>
      <c r="F542" s="174"/>
      <c r="G542" s="109"/>
      <c r="H542" s="174"/>
      <c r="I542" s="86">
        <v>511474</v>
      </c>
      <c r="J542" s="87">
        <v>20099</v>
      </c>
      <c r="K542" s="24" t="s">
        <v>126</v>
      </c>
      <c r="L542" s="106"/>
      <c r="M542" s="105" t="s">
        <v>1070</v>
      </c>
      <c r="N542" s="106">
        <v>6</v>
      </c>
      <c r="O542" s="107"/>
      <c r="P542" s="27">
        <v>15.87</v>
      </c>
      <c r="Q542" s="28">
        <f>data[[#This Row],[Costo Producto
Proveedor ($/Unid)]]*data[[#This Row],[Cantidad]]</f>
        <v>0</v>
      </c>
      <c r="R542" s="119">
        <f>data[[#This Row],[Cantidad]]*data[[#This Row],[Precio de Venta Cliente ($/Unid)]]</f>
        <v>95.22</v>
      </c>
      <c r="S542" s="29"/>
      <c r="T542" s="106" t="s">
        <v>16</v>
      </c>
      <c r="U542" s="106"/>
      <c r="V542" s="30" t="s">
        <v>42</v>
      </c>
      <c r="W542" s="32" t="s">
        <v>42</v>
      </c>
      <c r="X542" s="106" t="s">
        <v>23</v>
      </c>
      <c r="Y542" s="106" t="s">
        <v>23</v>
      </c>
      <c r="Z542" s="106" t="s">
        <v>50</v>
      </c>
      <c r="AA542" s="106"/>
    </row>
    <row r="543" spans="2:27" s="38" customFormat="1" x14ac:dyDescent="0.25">
      <c r="B543" s="174"/>
      <c r="C543" s="174" t="str">
        <f>TEXT(data[[#This Row],[Fecha de Envío
Cotización]],"MMMM")</f>
        <v>febrero</v>
      </c>
      <c r="D543" s="174">
        <v>44246</v>
      </c>
      <c r="E543" s="174" t="str">
        <f>IF(data[[#This Row],[Estatus de 
Cotización]]="PERDIDO","N/A","")</f>
        <v>N/A</v>
      </c>
      <c r="F543" s="174"/>
      <c r="G543" s="109"/>
      <c r="H543" s="174"/>
      <c r="I543" s="86">
        <v>511475</v>
      </c>
      <c r="J543" s="87">
        <v>20099</v>
      </c>
      <c r="K543" s="24" t="s">
        <v>126</v>
      </c>
      <c r="L543" s="106"/>
      <c r="M543" s="105" t="s">
        <v>1071</v>
      </c>
      <c r="N543" s="106">
        <v>12</v>
      </c>
      <c r="O543" s="107"/>
      <c r="P543" s="27">
        <v>25.8</v>
      </c>
      <c r="Q543" s="28">
        <f>data[[#This Row],[Costo Producto
Proveedor ($/Unid)]]*data[[#This Row],[Cantidad]]</f>
        <v>0</v>
      </c>
      <c r="R543" s="119">
        <f>data[[#This Row],[Cantidad]]*data[[#This Row],[Precio de Venta Cliente ($/Unid)]]</f>
        <v>309.60000000000002</v>
      </c>
      <c r="S543" s="29"/>
      <c r="T543" s="106" t="s">
        <v>16</v>
      </c>
      <c r="U543" s="106"/>
      <c r="V543" s="30" t="s">
        <v>42</v>
      </c>
      <c r="W543" s="32" t="s">
        <v>42</v>
      </c>
      <c r="X543" s="106" t="s">
        <v>23</v>
      </c>
      <c r="Y543" s="106" t="s">
        <v>23</v>
      </c>
      <c r="Z543" s="106" t="s">
        <v>50</v>
      </c>
      <c r="AA543" s="106"/>
    </row>
    <row r="544" spans="2:27" s="38" customFormat="1" x14ac:dyDescent="0.25">
      <c r="B544" s="174"/>
      <c r="C544" s="174" t="str">
        <f>TEXT(data[[#This Row],[Fecha de Envío
Cotización]],"MMMM")</f>
        <v>febrero</v>
      </c>
      <c r="D544" s="174">
        <v>44246</v>
      </c>
      <c r="E544" s="174" t="str">
        <f>IF(data[[#This Row],[Estatus de 
Cotización]]="PERDIDO","N/A","")</f>
        <v>N/A</v>
      </c>
      <c r="F544" s="174"/>
      <c r="G544" s="109"/>
      <c r="H544" s="174"/>
      <c r="I544" s="86">
        <v>511476</v>
      </c>
      <c r="J544" s="87">
        <v>20101</v>
      </c>
      <c r="K544" s="24" t="s">
        <v>1073</v>
      </c>
      <c r="L544" s="106"/>
      <c r="M544" s="105" t="s">
        <v>1072</v>
      </c>
      <c r="N544" s="106">
        <v>1</v>
      </c>
      <c r="O544" s="107"/>
      <c r="P544" s="27">
        <v>6484.64</v>
      </c>
      <c r="Q544" s="28">
        <f>data[[#This Row],[Costo Producto
Proveedor ($/Unid)]]*data[[#This Row],[Cantidad]]</f>
        <v>0</v>
      </c>
      <c r="R544" s="119">
        <f>data[[#This Row],[Cantidad]]*data[[#This Row],[Precio de Venta Cliente ($/Unid)]]</f>
        <v>6484.64</v>
      </c>
      <c r="S544" s="29"/>
      <c r="T544" s="106" t="s">
        <v>73</v>
      </c>
      <c r="U544" s="106"/>
      <c r="V544" s="30" t="s">
        <v>42</v>
      </c>
      <c r="W544" s="32" t="s">
        <v>42</v>
      </c>
      <c r="X544" s="106" t="s">
        <v>23</v>
      </c>
      <c r="Y544" s="106" t="s">
        <v>23</v>
      </c>
      <c r="Z544" s="106" t="s">
        <v>50</v>
      </c>
      <c r="AA544" s="106"/>
    </row>
    <row r="545" spans="2:27" s="38" customFormat="1" x14ac:dyDescent="0.25">
      <c r="B545" s="174"/>
      <c r="C545" s="174" t="str">
        <f>TEXT(data[[#This Row],[Fecha de Envío
Cotización]],"MMMM")</f>
        <v>febrero</v>
      </c>
      <c r="D545" s="174">
        <v>44246</v>
      </c>
      <c r="E545" s="174" t="str">
        <f>IF(data[[#This Row],[Estatus de 
Cotización]]="PERDIDO","N/A","")</f>
        <v>N/A</v>
      </c>
      <c r="F545" s="174"/>
      <c r="G545" s="109"/>
      <c r="H545" s="174"/>
      <c r="I545" s="86">
        <v>511478</v>
      </c>
      <c r="J545" s="87">
        <v>19801</v>
      </c>
      <c r="K545" s="24" t="s">
        <v>33</v>
      </c>
      <c r="L545" s="106"/>
      <c r="M545" s="105" t="s">
        <v>1105</v>
      </c>
      <c r="N545" s="106">
        <v>2</v>
      </c>
      <c r="O545" s="107"/>
      <c r="P545" s="27">
        <v>398.19</v>
      </c>
      <c r="Q545" s="28">
        <f>data[[#This Row],[Costo Producto
Proveedor ($/Unid)]]*data[[#This Row],[Cantidad]]</f>
        <v>0</v>
      </c>
      <c r="R545" s="119">
        <f>data[[#This Row],[Cantidad]]*data[[#This Row],[Precio de Venta Cliente ($/Unid)]]</f>
        <v>796.38</v>
      </c>
      <c r="S545" s="29"/>
      <c r="T545" s="106" t="s">
        <v>36</v>
      </c>
      <c r="U545" s="106"/>
      <c r="V545" s="30" t="s">
        <v>42</v>
      </c>
      <c r="W545" s="32" t="s">
        <v>42</v>
      </c>
      <c r="X545" s="106" t="s">
        <v>23</v>
      </c>
      <c r="Y545" s="106" t="s">
        <v>23</v>
      </c>
      <c r="Z545" s="106" t="s">
        <v>50</v>
      </c>
      <c r="AA545" s="106"/>
    </row>
    <row r="546" spans="2:27" s="38" customFormat="1" x14ac:dyDescent="0.25">
      <c r="B546" s="174"/>
      <c r="C546" s="174" t="str">
        <f>TEXT(data[[#This Row],[Fecha de Envío
Cotización]],"MMMM")</f>
        <v>febrero</v>
      </c>
      <c r="D546" s="174">
        <v>44251</v>
      </c>
      <c r="E546" s="174">
        <v>44258</v>
      </c>
      <c r="F546" s="174">
        <v>44281</v>
      </c>
      <c r="G546" s="109">
        <v>3210329</v>
      </c>
      <c r="H546" s="174">
        <v>44251</v>
      </c>
      <c r="I546" s="86">
        <v>511487</v>
      </c>
      <c r="J546" s="87">
        <v>19322</v>
      </c>
      <c r="K546" s="24" t="s">
        <v>33</v>
      </c>
      <c r="L546" s="106"/>
      <c r="M546" s="108" t="s">
        <v>660</v>
      </c>
      <c r="N546" s="106">
        <v>1</v>
      </c>
      <c r="O546" s="107"/>
      <c r="P546" s="27">
        <v>373.82</v>
      </c>
      <c r="Q546" s="28">
        <v>199.99</v>
      </c>
      <c r="R546" s="120">
        <f>data[[#This Row],[Cantidad]]*data[[#This Row],[Precio de Venta Cliente ($/Unid)]]</f>
        <v>373.82</v>
      </c>
      <c r="S546" s="29"/>
      <c r="T546" s="106" t="s">
        <v>36</v>
      </c>
      <c r="U546" s="106"/>
      <c r="V546" s="30" t="s">
        <v>44</v>
      </c>
      <c r="W546" s="174" t="s">
        <v>44</v>
      </c>
      <c r="X546" s="106" t="s">
        <v>45</v>
      </c>
      <c r="Y546" s="106" t="s">
        <v>47</v>
      </c>
      <c r="Z546" s="106" t="s">
        <v>50</v>
      </c>
      <c r="AA546" s="106"/>
    </row>
    <row r="547" spans="2:27" s="38" customFormat="1" x14ac:dyDescent="0.25">
      <c r="B547" s="174"/>
      <c r="C547" s="174" t="str">
        <f>TEXT(data[[#This Row],[Fecha de Envío
Cotización]],"MMMM")</f>
        <v>febrero</v>
      </c>
      <c r="D547" s="174">
        <v>44251</v>
      </c>
      <c r="E547" s="174" t="str">
        <f>IF(data[[#This Row],[Estatus de 
Cotización]]="PERDIDO","N/A","")</f>
        <v>N/A</v>
      </c>
      <c r="F547" s="174"/>
      <c r="G547" s="109"/>
      <c r="H547" s="174"/>
      <c r="I547" s="86">
        <v>511484</v>
      </c>
      <c r="J547" s="87">
        <v>20103</v>
      </c>
      <c r="K547" s="24" t="s">
        <v>320</v>
      </c>
      <c r="L547" s="106"/>
      <c r="M547" s="105" t="s">
        <v>1106</v>
      </c>
      <c r="N547" s="106">
        <v>10</v>
      </c>
      <c r="O547" s="107"/>
      <c r="P547" s="27">
        <v>310.10000000000002</v>
      </c>
      <c r="Q547" s="28">
        <f>data[[#This Row],[Costo Producto
Proveedor ($/Unid)]]*data[[#This Row],[Cantidad]]</f>
        <v>0</v>
      </c>
      <c r="R547" s="119">
        <f>data[[#This Row],[Cantidad]]*data[[#This Row],[Precio de Venta Cliente ($/Unid)]]</f>
        <v>3101</v>
      </c>
      <c r="S547" s="29"/>
      <c r="T547" s="106" t="s">
        <v>16</v>
      </c>
      <c r="U547" s="106"/>
      <c r="V547" s="30" t="s">
        <v>42</v>
      </c>
      <c r="W547" s="32" t="s">
        <v>42</v>
      </c>
      <c r="X547" s="106" t="s">
        <v>23</v>
      </c>
      <c r="Y547" s="106" t="s">
        <v>23</v>
      </c>
      <c r="Z547" s="106" t="s">
        <v>50</v>
      </c>
      <c r="AA547" s="106"/>
    </row>
    <row r="548" spans="2:27" s="38" customFormat="1" x14ac:dyDescent="0.25">
      <c r="B548" s="174"/>
      <c r="C548" s="174" t="str">
        <f>TEXT(data[[#This Row],[Fecha de Envío
Cotización]],"MMMM")</f>
        <v>febrero</v>
      </c>
      <c r="D548" s="174">
        <v>44251</v>
      </c>
      <c r="E548" s="174" t="str">
        <f>IF(data[[#This Row],[Estatus de 
Cotización]]="PERDIDO","N/A","")</f>
        <v>N/A</v>
      </c>
      <c r="F548" s="174"/>
      <c r="G548" s="109"/>
      <c r="H548" s="174"/>
      <c r="I548" s="86">
        <v>511485</v>
      </c>
      <c r="J548" s="87">
        <v>20102</v>
      </c>
      <c r="K548" s="24" t="s">
        <v>1109</v>
      </c>
      <c r="L548" s="106"/>
      <c r="M548" s="105" t="s">
        <v>1107</v>
      </c>
      <c r="N548" s="106">
        <v>1</v>
      </c>
      <c r="O548" s="107"/>
      <c r="P548" s="27">
        <v>379.82</v>
      </c>
      <c r="Q548" s="28">
        <f>data[[#This Row],[Costo Producto
Proveedor ($/Unid)]]*data[[#This Row],[Cantidad]]</f>
        <v>0</v>
      </c>
      <c r="R548" s="119">
        <f>data[[#This Row],[Cantidad]]*data[[#This Row],[Precio de Venta Cliente ($/Unid)]]</f>
        <v>379.82</v>
      </c>
      <c r="S548" s="29"/>
      <c r="T548" s="106" t="s">
        <v>22</v>
      </c>
      <c r="U548" s="106"/>
      <c r="V548" s="30" t="s">
        <v>42</v>
      </c>
      <c r="W548" s="32" t="s">
        <v>42</v>
      </c>
      <c r="X548" s="106" t="s">
        <v>23</v>
      </c>
      <c r="Y548" s="106" t="s">
        <v>23</v>
      </c>
      <c r="Z548" s="106" t="s">
        <v>50</v>
      </c>
      <c r="AA548" s="106"/>
    </row>
    <row r="549" spans="2:27" s="38" customFormat="1" x14ac:dyDescent="0.25">
      <c r="B549" s="174"/>
      <c r="C549" s="174" t="str">
        <f>TEXT(data[[#This Row],[Fecha de Envío
Cotización]],"MMMM")</f>
        <v>febrero</v>
      </c>
      <c r="D549" s="174">
        <v>44251</v>
      </c>
      <c r="E549" s="174" t="str">
        <f>IF(data[[#This Row],[Estatus de 
Cotización]]="PERDIDO","N/A","")</f>
        <v>N/A</v>
      </c>
      <c r="F549" s="174"/>
      <c r="G549" s="109"/>
      <c r="H549" s="174"/>
      <c r="I549" s="86">
        <v>511486</v>
      </c>
      <c r="J549" s="87">
        <v>20102</v>
      </c>
      <c r="K549" s="24" t="s">
        <v>1109</v>
      </c>
      <c r="L549" s="106"/>
      <c r="M549" s="105" t="s">
        <v>1108</v>
      </c>
      <c r="N549" s="106">
        <v>1</v>
      </c>
      <c r="O549" s="107"/>
      <c r="P549" s="27">
        <v>74.25</v>
      </c>
      <c r="Q549" s="28">
        <f>data[[#This Row],[Costo Producto
Proveedor ($/Unid)]]*data[[#This Row],[Cantidad]]</f>
        <v>0</v>
      </c>
      <c r="R549" s="119">
        <f>data[[#This Row],[Cantidad]]*data[[#This Row],[Precio de Venta Cliente ($/Unid)]]</f>
        <v>74.25</v>
      </c>
      <c r="S549" s="29"/>
      <c r="T549" s="106" t="s">
        <v>22</v>
      </c>
      <c r="U549" s="106"/>
      <c r="V549" s="30" t="s">
        <v>42</v>
      </c>
      <c r="W549" s="32" t="s">
        <v>42</v>
      </c>
      <c r="X549" s="106" t="s">
        <v>23</v>
      </c>
      <c r="Y549" s="106" t="s">
        <v>23</v>
      </c>
      <c r="Z549" s="106" t="s">
        <v>50</v>
      </c>
      <c r="AA549" s="106"/>
    </row>
    <row r="550" spans="2:27" s="38" customFormat="1" x14ac:dyDescent="0.25">
      <c r="B550" s="174"/>
      <c r="C550" s="174" t="str">
        <f>TEXT(data[[#This Row],[Fecha de Envío
Cotización]],"MMMM")</f>
        <v>febrero</v>
      </c>
      <c r="D550" s="174">
        <v>44251</v>
      </c>
      <c r="E550" s="174" t="str">
        <f>IF(data[[#This Row],[Estatus de 
Cotización]]="PERDIDO","N/A","")</f>
        <v>N/A</v>
      </c>
      <c r="F550" s="174"/>
      <c r="G550" s="109"/>
      <c r="H550" s="174"/>
      <c r="I550" s="86">
        <v>511488</v>
      </c>
      <c r="J550" s="87">
        <v>19322</v>
      </c>
      <c r="K550" s="24" t="s">
        <v>33</v>
      </c>
      <c r="L550" s="106"/>
      <c r="M550" s="108" t="s">
        <v>661</v>
      </c>
      <c r="N550" s="106">
        <v>1</v>
      </c>
      <c r="O550" s="107"/>
      <c r="P550" s="27">
        <v>474.61</v>
      </c>
      <c r="Q550" s="28">
        <f>data[[#This Row],[Costo Producto
Proveedor ($/Unid)]]*data[[#This Row],[Cantidad]]</f>
        <v>0</v>
      </c>
      <c r="R550" s="117">
        <f>data[[#This Row],[Cantidad]]*data[[#This Row],[Precio de Venta Cliente ($/Unid)]]</f>
        <v>474.61</v>
      </c>
      <c r="S550" s="29"/>
      <c r="T550" s="106" t="s">
        <v>36</v>
      </c>
      <c r="U550" s="106"/>
      <c r="V550" s="30" t="s">
        <v>42</v>
      </c>
      <c r="W550" s="174" t="s">
        <v>42</v>
      </c>
      <c r="X550" s="106" t="s">
        <v>23</v>
      </c>
      <c r="Y550" s="106" t="s">
        <v>23</v>
      </c>
      <c r="Z550" s="106" t="s">
        <v>50</v>
      </c>
      <c r="AA550" s="106" t="s">
        <v>43</v>
      </c>
    </row>
    <row r="551" spans="2:27" s="38" customFormat="1" x14ac:dyDescent="0.25">
      <c r="B551" s="174"/>
      <c r="C551" s="174" t="str">
        <f>TEXT(data[[#This Row],[Fecha de Envío
Cotización]],"MMMM")</f>
        <v>marzo</v>
      </c>
      <c r="D551" s="174">
        <v>44258</v>
      </c>
      <c r="E551" s="174" t="str">
        <f>IF(data[[#This Row],[Estatus de 
Cotización]]="PERDIDO","N/A","")</f>
        <v>N/A</v>
      </c>
      <c r="F551" s="174"/>
      <c r="G551" s="109"/>
      <c r="H551" s="174"/>
      <c r="I551" s="86">
        <v>511513</v>
      </c>
      <c r="J551" s="87">
        <v>20117</v>
      </c>
      <c r="K551" s="24" t="s">
        <v>54</v>
      </c>
      <c r="L551" s="106"/>
      <c r="M551" s="108" t="s">
        <v>662</v>
      </c>
      <c r="N551" s="106">
        <v>1</v>
      </c>
      <c r="O551" s="107"/>
      <c r="P551" s="27">
        <v>870</v>
      </c>
      <c r="Q551" s="28">
        <f>data[[#This Row],[Costo Producto
Proveedor ($/Unid)]]*data[[#This Row],[Cantidad]]</f>
        <v>0</v>
      </c>
      <c r="R551" s="119">
        <f>data[[#This Row],[Cantidad]]*data[[#This Row],[Precio de Venta Cliente ($/Unid)]]</f>
        <v>870</v>
      </c>
      <c r="S551" s="29"/>
      <c r="T551" s="106" t="s">
        <v>22</v>
      </c>
      <c r="U551" s="106"/>
      <c r="V551" s="30" t="s">
        <v>42</v>
      </c>
      <c r="W551" s="174" t="s">
        <v>42</v>
      </c>
      <c r="X551" s="106" t="s">
        <v>23</v>
      </c>
      <c r="Y551" s="106" t="s">
        <v>23</v>
      </c>
      <c r="Z551" s="106" t="s">
        <v>50</v>
      </c>
      <c r="AA551" s="106" t="s">
        <v>43</v>
      </c>
    </row>
    <row r="552" spans="2:27" s="38" customFormat="1" x14ac:dyDescent="0.25">
      <c r="B552" s="174"/>
      <c r="C552" s="174" t="str">
        <f>TEXT(data[[#This Row],[Fecha de Envío
Cotización]],"MMMM")</f>
        <v>marzo</v>
      </c>
      <c r="D552" s="174">
        <v>44258</v>
      </c>
      <c r="E552" s="174" t="str">
        <f>IF(data[[#This Row],[Estatus de 
Cotización]]="PERDIDO","N/A","")</f>
        <v>N/A</v>
      </c>
      <c r="F552" s="174"/>
      <c r="G552" s="109"/>
      <c r="H552" s="174"/>
      <c r="I552" s="86">
        <v>511514</v>
      </c>
      <c r="J552" s="87">
        <v>20116</v>
      </c>
      <c r="K552" s="24" t="s">
        <v>33</v>
      </c>
      <c r="L552" s="106"/>
      <c r="M552" s="108" t="s">
        <v>663</v>
      </c>
      <c r="N552" s="106">
        <v>2</v>
      </c>
      <c r="O552" s="107"/>
      <c r="P552" s="27">
        <v>642.83000000000004</v>
      </c>
      <c r="Q552" s="28">
        <f>data[[#This Row],[Costo Producto
Proveedor ($/Unid)]]*data[[#This Row],[Cantidad]]</f>
        <v>0</v>
      </c>
      <c r="R552" s="119">
        <f>data[[#This Row],[Cantidad]]*data[[#This Row],[Precio de Venta Cliente ($/Unid)]]</f>
        <v>1285.6600000000001</v>
      </c>
      <c r="S552" s="29"/>
      <c r="T552" s="106" t="s">
        <v>16</v>
      </c>
      <c r="U552" s="106"/>
      <c r="V552" s="30" t="s">
        <v>42</v>
      </c>
      <c r="W552" s="174" t="s">
        <v>42</v>
      </c>
      <c r="X552" s="106" t="s">
        <v>23</v>
      </c>
      <c r="Y552" s="106" t="s">
        <v>23</v>
      </c>
      <c r="Z552" s="106" t="s">
        <v>50</v>
      </c>
      <c r="AA552" s="106"/>
    </row>
    <row r="553" spans="2:27" s="38" customFormat="1" x14ac:dyDescent="0.25">
      <c r="B553" s="174"/>
      <c r="C553" s="174" t="str">
        <f>TEXT(data[[#This Row],[Fecha de Envío
Cotización]],"MMMM")</f>
        <v>marzo</v>
      </c>
      <c r="D553" s="174">
        <v>44258</v>
      </c>
      <c r="E553" s="174" t="str">
        <f>IF(data[[#This Row],[Estatus de 
Cotización]]="PERDIDO","N/A","")</f>
        <v>N/A</v>
      </c>
      <c r="F553" s="174"/>
      <c r="G553" s="109"/>
      <c r="H553" s="174"/>
      <c r="I553" s="86">
        <v>511515</v>
      </c>
      <c r="J553" s="87">
        <v>20116</v>
      </c>
      <c r="K553" s="24" t="s">
        <v>33</v>
      </c>
      <c r="L553" s="106"/>
      <c r="M553" s="108" t="s">
        <v>664</v>
      </c>
      <c r="N553" s="106">
        <v>1</v>
      </c>
      <c r="O553" s="107"/>
      <c r="P553" s="27">
        <v>1364</v>
      </c>
      <c r="Q553" s="28">
        <f>data[[#This Row],[Costo Producto
Proveedor ($/Unid)]]*data[[#This Row],[Cantidad]]</f>
        <v>0</v>
      </c>
      <c r="R553" s="119">
        <f>data[[#This Row],[Cantidad]]*data[[#This Row],[Precio de Venta Cliente ($/Unid)]]</f>
        <v>1364</v>
      </c>
      <c r="S553" s="29"/>
      <c r="T553" s="106" t="s">
        <v>16</v>
      </c>
      <c r="U553" s="106"/>
      <c r="V553" s="30" t="s">
        <v>42</v>
      </c>
      <c r="W553" s="174" t="s">
        <v>42</v>
      </c>
      <c r="X553" s="106" t="s">
        <v>23</v>
      </c>
      <c r="Y553" s="106" t="s">
        <v>23</v>
      </c>
      <c r="Z553" s="106" t="s">
        <v>50</v>
      </c>
      <c r="AA553" s="106"/>
    </row>
    <row r="554" spans="2:27" s="38" customFormat="1" x14ac:dyDescent="0.25">
      <c r="B554" s="174"/>
      <c r="C554" s="174" t="str">
        <f>TEXT(data[[#This Row],[Fecha de Envío
Cotización]],"MMMM")</f>
        <v>marzo</v>
      </c>
      <c r="D554" s="174">
        <v>44264</v>
      </c>
      <c r="E554" s="174">
        <v>44272</v>
      </c>
      <c r="F554" s="174">
        <v>44314</v>
      </c>
      <c r="G554" s="109">
        <v>343341</v>
      </c>
      <c r="H554" s="174">
        <v>44264</v>
      </c>
      <c r="I554" s="86">
        <v>511551</v>
      </c>
      <c r="J554" s="87">
        <v>20135</v>
      </c>
      <c r="K554" s="24" t="s">
        <v>125</v>
      </c>
      <c r="L554" s="106"/>
      <c r="M554" s="108" t="s">
        <v>665</v>
      </c>
      <c r="N554" s="106">
        <v>2</v>
      </c>
      <c r="O554" s="107"/>
      <c r="P554" s="27">
        <v>95.84</v>
      </c>
      <c r="Q554" s="28">
        <f>data[[#This Row],[Costo Producto
Proveedor ($/Unid)]]*data[[#This Row],[Cantidad]]</f>
        <v>0</v>
      </c>
      <c r="R554" s="121">
        <f>data[[#This Row],[Cantidad]]*data[[#This Row],[Precio de Venta Cliente ($/Unid)]]</f>
        <v>191.68</v>
      </c>
      <c r="S554" s="29"/>
      <c r="T554" s="106" t="s">
        <v>16</v>
      </c>
      <c r="U554" s="106"/>
      <c r="V554" s="30" t="s">
        <v>44</v>
      </c>
      <c r="W554" s="174" t="s">
        <v>44</v>
      </c>
      <c r="X554" s="106" t="s">
        <v>45</v>
      </c>
      <c r="Y554" s="106" t="s">
        <v>47</v>
      </c>
      <c r="Z554" s="106" t="s">
        <v>50</v>
      </c>
      <c r="AA554" s="106"/>
    </row>
    <row r="555" spans="2:27" s="38" customFormat="1" x14ac:dyDescent="0.25">
      <c r="B555" s="174"/>
      <c r="C555" s="174" t="str">
        <f>TEXT(data[[#This Row],[Fecha de Envío
Cotización]],"MMMM")</f>
        <v>marzo</v>
      </c>
      <c r="D555" s="174">
        <v>44264</v>
      </c>
      <c r="E555" s="174" t="str">
        <f>IF(data[[#This Row],[Estatus de 
Cotización]]="PERDIDO","N/A","")</f>
        <v>N/A</v>
      </c>
      <c r="F555" s="174"/>
      <c r="G555" s="109"/>
      <c r="H555" s="174"/>
      <c r="I555" s="86">
        <v>511552</v>
      </c>
      <c r="J555" s="87">
        <v>20136</v>
      </c>
      <c r="K555" s="24" t="s">
        <v>125</v>
      </c>
      <c r="L555" s="106"/>
      <c r="M555" s="108" t="s">
        <v>666</v>
      </c>
      <c r="N555" s="106">
        <v>1</v>
      </c>
      <c r="O555" s="107"/>
      <c r="P555" s="27">
        <v>52.45</v>
      </c>
      <c r="Q555" s="28">
        <f>data[[#This Row],[Costo Producto
Proveedor ($/Unid)]]*data[[#This Row],[Cantidad]]</f>
        <v>0</v>
      </c>
      <c r="R555" s="28">
        <f>data[[#This Row],[Cantidad]]*data[[#This Row],[Precio de Venta Cliente ($/Unid)]]</f>
        <v>52.45</v>
      </c>
      <c r="S555" s="29"/>
      <c r="T555" s="106" t="s">
        <v>16</v>
      </c>
      <c r="U555" s="106"/>
      <c r="V555" s="30" t="s">
        <v>42</v>
      </c>
      <c r="W555" s="174" t="s">
        <v>42</v>
      </c>
      <c r="X555" s="106" t="s">
        <v>23</v>
      </c>
      <c r="Y555" s="106" t="s">
        <v>23</v>
      </c>
      <c r="Z555" s="106" t="s">
        <v>50</v>
      </c>
      <c r="AA555" s="106"/>
    </row>
    <row r="556" spans="2:27" s="38" customFormat="1" x14ac:dyDescent="0.25">
      <c r="B556" s="174"/>
      <c r="C556" s="174" t="str">
        <f>TEXT(data[[#This Row],[Fecha de Envío
Cotización]],"MMMM")</f>
        <v>marzo</v>
      </c>
      <c r="D556" s="174">
        <v>44265</v>
      </c>
      <c r="E556" s="174" t="str">
        <f>IF(data[[#This Row],[Estatus de 
Cotización]]="PERDIDO","N/A","")</f>
        <v>N/A</v>
      </c>
      <c r="F556" s="174"/>
      <c r="G556" s="109"/>
      <c r="H556" s="174"/>
      <c r="I556" s="86">
        <v>511559</v>
      </c>
      <c r="J556" s="87">
        <v>20140</v>
      </c>
      <c r="K556" s="24" t="s">
        <v>33</v>
      </c>
      <c r="L556" s="106"/>
      <c r="M556" s="108" t="s">
        <v>668</v>
      </c>
      <c r="N556" s="106">
        <v>1</v>
      </c>
      <c r="O556" s="107"/>
      <c r="P556" s="27">
        <v>725.21</v>
      </c>
      <c r="Q556" s="28">
        <f>data[[#This Row],[Costo Producto
Proveedor ($/Unid)]]*data[[#This Row],[Cantidad]]</f>
        <v>0</v>
      </c>
      <c r="R556" s="119">
        <f>data[[#This Row],[Cantidad]]*data[[#This Row],[Precio de Venta Cliente ($/Unid)]]</f>
        <v>725.21</v>
      </c>
      <c r="S556" s="29"/>
      <c r="T556" s="106" t="s">
        <v>16</v>
      </c>
      <c r="U556" s="106"/>
      <c r="V556" s="30" t="s">
        <v>42</v>
      </c>
      <c r="W556" s="174" t="s">
        <v>42</v>
      </c>
      <c r="X556" s="106" t="s">
        <v>23</v>
      </c>
      <c r="Y556" s="106" t="s">
        <v>23</v>
      </c>
      <c r="Z556" s="106" t="s">
        <v>50</v>
      </c>
      <c r="AA556" s="106"/>
    </row>
    <row r="557" spans="2:27" x14ac:dyDescent="0.25">
      <c r="B557" s="174"/>
      <c r="C557" s="174" t="str">
        <f>TEXT(data[[#This Row],[Fecha de Envío
Cotización]],"MMMM")</f>
        <v>marzo</v>
      </c>
      <c r="D557" s="174">
        <v>44265</v>
      </c>
      <c r="E557" s="174" t="str">
        <f>IF(data[[#This Row],[Estatus de 
Cotización]]="PERDIDO","N/A","")</f>
        <v>N/A</v>
      </c>
      <c r="F557" s="174"/>
      <c r="G557" s="109"/>
      <c r="H557" s="174"/>
      <c r="I557" s="86">
        <v>511560</v>
      </c>
      <c r="J557" s="87">
        <v>20141</v>
      </c>
      <c r="K557" s="24" t="s">
        <v>33</v>
      </c>
      <c r="L557" s="106"/>
      <c r="M557" s="108" t="s">
        <v>669</v>
      </c>
      <c r="N557" s="106">
        <v>1</v>
      </c>
      <c r="O557" s="107"/>
      <c r="P557" s="27">
        <v>1073.6600000000001</v>
      </c>
      <c r="Q557" s="28">
        <f>data[[#This Row],[Costo Producto
Proveedor ($/Unid)]]*data[[#This Row],[Cantidad]]</f>
        <v>0</v>
      </c>
      <c r="R557" s="119">
        <f>data[[#This Row],[Cantidad]]*data[[#This Row],[Precio de Venta Cliente ($/Unid)]]</f>
        <v>1073.6600000000001</v>
      </c>
      <c r="S557" s="29"/>
      <c r="T557" s="106" t="s">
        <v>16</v>
      </c>
      <c r="U557" s="106"/>
      <c r="V557" s="30" t="s">
        <v>42</v>
      </c>
      <c r="W557" s="174" t="s">
        <v>42</v>
      </c>
      <c r="X557" s="106" t="s">
        <v>23</v>
      </c>
      <c r="Y557" s="106" t="s">
        <v>23</v>
      </c>
      <c r="Z557" s="106" t="s">
        <v>50</v>
      </c>
      <c r="AA557" s="106"/>
    </row>
    <row r="558" spans="2:27" x14ac:dyDescent="0.25">
      <c r="B558" s="174"/>
      <c r="C558" s="174" t="str">
        <f>TEXT(data[[#This Row],[Fecha de Envío
Cotización]],"MMMM")</f>
        <v>marzo</v>
      </c>
      <c r="D558" s="174">
        <v>44265</v>
      </c>
      <c r="E558" s="130" t="str">
        <f>IF(data[[#This Row],[Estatus de 
Cotización]]="PERDIDO","N/A","")</f>
        <v>N/A</v>
      </c>
      <c r="F558" s="174"/>
      <c r="G558" s="109"/>
      <c r="H558" s="174"/>
      <c r="I558" s="86">
        <v>511558</v>
      </c>
      <c r="J558" s="87">
        <v>20137</v>
      </c>
      <c r="K558" s="24" t="s">
        <v>55</v>
      </c>
      <c r="L558" s="106"/>
      <c r="M558" s="108" t="s">
        <v>667</v>
      </c>
      <c r="N558" s="106">
        <v>1</v>
      </c>
      <c r="O558" s="107"/>
      <c r="P558" s="27">
        <v>25457</v>
      </c>
      <c r="Q558" s="28">
        <f>data[[#This Row],[Costo Producto
Proveedor ($/Unid)]]*data[[#This Row],[Cantidad]]</f>
        <v>0</v>
      </c>
      <c r="R558" s="28">
        <f>data[[#This Row],[Cantidad]]*data[[#This Row],[Precio de Venta Cliente ($/Unid)]]</f>
        <v>25457</v>
      </c>
      <c r="S558" s="29"/>
      <c r="T558" s="106" t="s">
        <v>56</v>
      </c>
      <c r="U558" s="106"/>
      <c r="V558" s="30" t="s">
        <v>42</v>
      </c>
      <c r="W558" s="174" t="s">
        <v>42</v>
      </c>
      <c r="X558" s="106" t="s">
        <v>23</v>
      </c>
      <c r="Y558" s="106" t="s">
        <v>23</v>
      </c>
      <c r="Z558" s="106" t="s">
        <v>50</v>
      </c>
      <c r="AA558" s="106"/>
    </row>
    <row r="559" spans="2:27" x14ac:dyDescent="0.25">
      <c r="B559" s="174"/>
      <c r="C559" s="174" t="str">
        <f>TEXT(data[[#This Row],[Fecha de Envío
Cotización]],"MMMM")</f>
        <v>marzo</v>
      </c>
      <c r="D559" s="174">
        <v>44266</v>
      </c>
      <c r="E559" s="130" t="str">
        <f>IF(data[[#This Row],[Estatus de 
Cotización]]="PERDIDO","N/A","")</f>
        <v>N/A</v>
      </c>
      <c r="F559" s="174"/>
      <c r="G559" s="109"/>
      <c r="H559" s="174"/>
      <c r="I559" s="86">
        <v>511574</v>
      </c>
      <c r="J559" s="87">
        <v>20142</v>
      </c>
      <c r="K559" s="24" t="s">
        <v>109</v>
      </c>
      <c r="L559" s="106"/>
      <c r="M559" s="108" t="s">
        <v>670</v>
      </c>
      <c r="N559" s="106">
        <v>2</v>
      </c>
      <c r="O559" s="107"/>
      <c r="P559" s="27">
        <v>103.85</v>
      </c>
      <c r="Q559" s="28">
        <f>data[[#This Row],[Costo Producto
Proveedor ($/Unid)]]*data[[#This Row],[Cantidad]]</f>
        <v>0</v>
      </c>
      <c r="R559" s="28">
        <f>data[[#This Row],[Cantidad]]*data[[#This Row],[Precio de Venta Cliente ($/Unid)]]</f>
        <v>207.7</v>
      </c>
      <c r="S559" s="29"/>
      <c r="T559" s="106" t="s">
        <v>16</v>
      </c>
      <c r="U559" s="106"/>
      <c r="V559" s="30" t="s">
        <v>42</v>
      </c>
      <c r="W559" s="174" t="s">
        <v>42</v>
      </c>
      <c r="X559" s="106" t="s">
        <v>23</v>
      </c>
      <c r="Y559" s="106" t="s">
        <v>23</v>
      </c>
      <c r="Z559" s="106" t="s">
        <v>50</v>
      </c>
      <c r="AA559" s="106"/>
    </row>
    <row r="560" spans="2:27" x14ac:dyDescent="0.25">
      <c r="B560" s="174"/>
      <c r="C560" s="174" t="str">
        <f>TEXT(data[[#This Row],[Fecha de Envío
Cotización]],"MMMM")</f>
        <v>marzo</v>
      </c>
      <c r="D560" s="174">
        <v>44266</v>
      </c>
      <c r="E560" s="130" t="str">
        <f>IF(data[[#This Row],[Estatus de 
Cotización]]="PERDIDO","N/A","")</f>
        <v>N/A</v>
      </c>
      <c r="F560" s="174"/>
      <c r="G560" s="109"/>
      <c r="H560" s="174"/>
      <c r="I560" s="86">
        <v>511575</v>
      </c>
      <c r="J560" s="87">
        <v>20142</v>
      </c>
      <c r="K560" s="24" t="s">
        <v>109</v>
      </c>
      <c r="L560" s="106"/>
      <c r="M560" s="108" t="s">
        <v>671</v>
      </c>
      <c r="N560" s="106">
        <v>2</v>
      </c>
      <c r="O560" s="107"/>
      <c r="P560" s="27">
        <v>167.25</v>
      </c>
      <c r="Q560" s="28">
        <f>data[[#This Row],[Costo Producto
Proveedor ($/Unid)]]*data[[#This Row],[Cantidad]]</f>
        <v>0</v>
      </c>
      <c r="R560" s="28">
        <f>data[[#This Row],[Cantidad]]*data[[#This Row],[Precio de Venta Cliente ($/Unid)]]</f>
        <v>334.5</v>
      </c>
      <c r="S560" s="29"/>
      <c r="T560" s="31" t="s">
        <v>16</v>
      </c>
      <c r="U560" s="106"/>
      <c r="V560" s="30" t="s">
        <v>42</v>
      </c>
      <c r="W560" s="174" t="s">
        <v>42</v>
      </c>
      <c r="X560" s="106" t="s">
        <v>23</v>
      </c>
      <c r="Y560" s="106" t="s">
        <v>23</v>
      </c>
      <c r="Z560" s="106" t="s">
        <v>50</v>
      </c>
      <c r="AA560" s="106"/>
    </row>
    <row r="561" spans="2:27" x14ac:dyDescent="0.25">
      <c r="B561" s="174"/>
      <c r="C561" s="174" t="str">
        <f>TEXT(data[[#This Row],[Fecha de Envío
Cotización]],"MMMM")</f>
        <v>marzo</v>
      </c>
      <c r="D561" s="174">
        <v>44266</v>
      </c>
      <c r="E561" s="130" t="str">
        <f>IF(data[[#This Row],[Estatus de 
Cotización]]="PERDIDO","N/A","")</f>
        <v>N/A</v>
      </c>
      <c r="F561" s="174"/>
      <c r="G561" s="109"/>
      <c r="H561" s="174"/>
      <c r="I561" s="86">
        <v>511576</v>
      </c>
      <c r="J561" s="87">
        <v>20142</v>
      </c>
      <c r="K561" s="24" t="s">
        <v>109</v>
      </c>
      <c r="L561" s="106"/>
      <c r="M561" s="108" t="s">
        <v>672</v>
      </c>
      <c r="N561" s="106">
        <v>2</v>
      </c>
      <c r="O561" s="107"/>
      <c r="P561" s="27">
        <v>67.25</v>
      </c>
      <c r="Q561" s="28">
        <f>data[[#This Row],[Costo Producto
Proveedor ($/Unid)]]*data[[#This Row],[Cantidad]]</f>
        <v>0</v>
      </c>
      <c r="R561" s="28">
        <f>data[[#This Row],[Cantidad]]*data[[#This Row],[Precio de Venta Cliente ($/Unid)]]</f>
        <v>134.5</v>
      </c>
      <c r="S561" s="29"/>
      <c r="T561" s="106" t="s">
        <v>16</v>
      </c>
      <c r="U561" s="106"/>
      <c r="V561" s="30" t="s">
        <v>42</v>
      </c>
      <c r="W561" s="174" t="s">
        <v>42</v>
      </c>
      <c r="X561" s="106" t="s">
        <v>23</v>
      </c>
      <c r="Y561" s="106" t="s">
        <v>23</v>
      </c>
      <c r="Z561" s="106" t="s">
        <v>50</v>
      </c>
      <c r="AA561" s="106"/>
    </row>
    <row r="562" spans="2:27" x14ac:dyDescent="0.25">
      <c r="B562" s="174"/>
      <c r="C562" s="174" t="str">
        <f>TEXT(data[[#This Row],[Fecha de Envío
Cotización]],"MMMM")</f>
        <v>marzo</v>
      </c>
      <c r="D562" s="174">
        <v>44270</v>
      </c>
      <c r="E562" s="174" t="str">
        <f>IF(data[[#This Row],[Estatus de 
Cotización]]="PERDIDO","N/A","")</f>
        <v>N/A</v>
      </c>
      <c r="F562" s="174"/>
      <c r="G562" s="109"/>
      <c r="H562" s="174"/>
      <c r="I562" s="86">
        <v>511588</v>
      </c>
      <c r="J562" s="87">
        <v>20145</v>
      </c>
      <c r="K562" s="24" t="s">
        <v>33</v>
      </c>
      <c r="L562" s="106"/>
      <c r="M562" s="108" t="s">
        <v>673</v>
      </c>
      <c r="N562" s="106">
        <v>1</v>
      </c>
      <c r="O562" s="107"/>
      <c r="P562" s="27">
        <v>880</v>
      </c>
      <c r="Q562" s="28">
        <f>data[[#This Row],[Costo Producto
Proveedor ($/Unid)]]*data[[#This Row],[Cantidad]]</f>
        <v>0</v>
      </c>
      <c r="R562" s="119">
        <f>data[[#This Row],[Cantidad]]*data[[#This Row],[Precio de Venta Cliente ($/Unid)]]</f>
        <v>880</v>
      </c>
      <c r="S562" s="29"/>
      <c r="T562" s="106" t="s">
        <v>16</v>
      </c>
      <c r="U562" s="106"/>
      <c r="V562" s="30" t="s">
        <v>42</v>
      </c>
      <c r="W562" s="174" t="s">
        <v>42</v>
      </c>
      <c r="X562" s="106" t="s">
        <v>23</v>
      </c>
      <c r="Y562" s="106" t="s">
        <v>23</v>
      </c>
      <c r="Z562" s="106" t="s">
        <v>50</v>
      </c>
      <c r="AA562" s="106"/>
    </row>
    <row r="563" spans="2:27" x14ac:dyDescent="0.25">
      <c r="B563" s="174"/>
      <c r="C563" s="174" t="str">
        <f>TEXT(data[[#This Row],[Fecha de Envío
Cotización]],"MMMM")</f>
        <v>marzo</v>
      </c>
      <c r="D563" s="174">
        <v>44270</v>
      </c>
      <c r="E563" s="174" t="str">
        <f>IF(data[[#This Row],[Estatus de 
Cotización]]="PERDIDO","N/A","")</f>
        <v>N/A</v>
      </c>
      <c r="F563" s="174"/>
      <c r="G563" s="109"/>
      <c r="H563" s="174"/>
      <c r="I563" s="86">
        <v>511589</v>
      </c>
      <c r="J563" s="87">
        <v>20146</v>
      </c>
      <c r="K563" s="24" t="s">
        <v>125</v>
      </c>
      <c r="L563" s="106"/>
      <c r="M563" s="108" t="s">
        <v>674</v>
      </c>
      <c r="N563" s="106">
        <v>4</v>
      </c>
      <c r="O563" s="107"/>
      <c r="P563" s="27">
        <v>177.42</v>
      </c>
      <c r="Q563" s="28">
        <f>data[[#This Row],[Costo Producto
Proveedor ($/Unid)]]*data[[#This Row],[Cantidad]]</f>
        <v>0</v>
      </c>
      <c r="R563" s="28">
        <f>data[[#This Row],[Cantidad]]*data[[#This Row],[Precio de Venta Cliente ($/Unid)]]</f>
        <v>709.68</v>
      </c>
      <c r="S563" s="29"/>
      <c r="T563" s="106" t="s">
        <v>51</v>
      </c>
      <c r="U563" s="106"/>
      <c r="V563" s="30" t="s">
        <v>42</v>
      </c>
      <c r="W563" s="174" t="s">
        <v>42</v>
      </c>
      <c r="X563" s="106" t="s">
        <v>23</v>
      </c>
      <c r="Y563" s="106" t="s">
        <v>23</v>
      </c>
      <c r="Z563" s="106" t="s">
        <v>50</v>
      </c>
      <c r="AA563" s="106"/>
    </row>
    <row r="564" spans="2:27" x14ac:dyDescent="0.25">
      <c r="B564" s="174"/>
      <c r="C564" s="174" t="str">
        <f>TEXT(data[[#This Row],[Fecha de Envío
Cotización]],"MMMM")</f>
        <v>marzo</v>
      </c>
      <c r="D564" s="174">
        <v>44272</v>
      </c>
      <c r="E564" s="174">
        <v>44285</v>
      </c>
      <c r="F564" s="174">
        <v>44321</v>
      </c>
      <c r="G564" s="109">
        <v>3210476</v>
      </c>
      <c r="H564" s="174">
        <v>44285</v>
      </c>
      <c r="I564" s="86">
        <v>511598</v>
      </c>
      <c r="J564" s="87">
        <v>20157</v>
      </c>
      <c r="K564" s="24" t="s">
        <v>33</v>
      </c>
      <c r="L564" s="106"/>
      <c r="M564" s="108" t="s">
        <v>675</v>
      </c>
      <c r="N564" s="106">
        <v>4</v>
      </c>
      <c r="O564" s="107"/>
      <c r="P564" s="27">
        <v>79.05</v>
      </c>
      <c r="Q564" s="28">
        <f>data[[#This Row],[Costo Producto
Proveedor ($/Unid)]]*data[[#This Row],[Cantidad]]</f>
        <v>0</v>
      </c>
      <c r="R564" s="120">
        <f>data[[#This Row],[Cantidad]]*data[[#This Row],[Precio de Venta Cliente ($/Unid)]]</f>
        <v>316.2</v>
      </c>
      <c r="S564" s="29"/>
      <c r="T564" s="106" t="s">
        <v>16</v>
      </c>
      <c r="U564" s="106"/>
      <c r="V564" s="30" t="s">
        <v>44</v>
      </c>
      <c r="W564" s="174" t="s">
        <v>44</v>
      </c>
      <c r="X564" s="106" t="s">
        <v>45</v>
      </c>
      <c r="Y564" s="106" t="s">
        <v>47</v>
      </c>
      <c r="Z564" s="106" t="s">
        <v>50</v>
      </c>
      <c r="AA564" s="106"/>
    </row>
    <row r="565" spans="2:27" x14ac:dyDescent="0.25">
      <c r="B565" s="174"/>
      <c r="C565" s="174" t="str">
        <f>TEXT(data[[#This Row],[Fecha de Envío
Cotización]],"MMMM")</f>
        <v>marzo</v>
      </c>
      <c r="D565" s="174">
        <v>44272</v>
      </c>
      <c r="E565" s="174" t="str">
        <f>IF(data[[#This Row],[Estatus de 
Cotización]]="PERDIDO","N/A","")</f>
        <v>N/A</v>
      </c>
      <c r="F565" s="174"/>
      <c r="G565" s="109"/>
      <c r="H565" s="174"/>
      <c r="I565" s="86">
        <v>511612</v>
      </c>
      <c r="J565" s="87">
        <v>20157</v>
      </c>
      <c r="K565" s="24" t="s">
        <v>33</v>
      </c>
      <c r="L565" s="106"/>
      <c r="M565" s="108" t="s">
        <v>689</v>
      </c>
      <c r="N565" s="106">
        <v>2</v>
      </c>
      <c r="O565" s="107"/>
      <c r="P565" s="27">
        <v>263.5</v>
      </c>
      <c r="Q565" s="28">
        <f>data[[#This Row],[Costo Producto
Proveedor ($/Unid)]]*data[[#This Row],[Cantidad]]</f>
        <v>0</v>
      </c>
      <c r="R565" s="117">
        <f>data[[#This Row],[Cantidad]]*data[[#This Row],[Precio de Venta Cliente ($/Unid)]]</f>
        <v>527</v>
      </c>
      <c r="S565" s="29"/>
      <c r="T565" s="106" t="s">
        <v>16</v>
      </c>
      <c r="U565" s="106"/>
      <c r="V565" s="30" t="s">
        <v>42</v>
      </c>
      <c r="W565" s="174" t="s">
        <v>42</v>
      </c>
      <c r="X565" s="106" t="s">
        <v>23</v>
      </c>
      <c r="Y565" s="106" t="s">
        <v>23</v>
      </c>
      <c r="Z565" s="106" t="s">
        <v>50</v>
      </c>
      <c r="AA565" s="106"/>
    </row>
    <row r="566" spans="2:27" x14ac:dyDescent="0.25">
      <c r="B566" s="23"/>
      <c r="C566" s="174" t="str">
        <f>TEXT(data[[#This Row],[Fecha de Envío
Cotización]],"MMMM")</f>
        <v>marzo</v>
      </c>
      <c r="D566" s="174">
        <v>44272</v>
      </c>
      <c r="E566" s="130" t="str">
        <f>IF(data[[#This Row],[Estatus de 
Cotización]]="PERDIDO","N/A","")</f>
        <v>N/A</v>
      </c>
      <c r="F566" s="23"/>
      <c r="G566" s="109"/>
      <c r="H566" s="23"/>
      <c r="I566" s="86">
        <v>511599</v>
      </c>
      <c r="J566" s="87">
        <v>20148</v>
      </c>
      <c r="K566" s="24" t="s">
        <v>65</v>
      </c>
      <c r="L566" s="22"/>
      <c r="M566" s="108" t="s">
        <v>676</v>
      </c>
      <c r="N566" s="22">
        <v>6</v>
      </c>
      <c r="O566" s="26"/>
      <c r="P566" s="27">
        <v>28.03</v>
      </c>
      <c r="Q566" s="28">
        <f>data[[#This Row],[Costo Producto
Proveedor ($/Unid)]]*data[[#This Row],[Cantidad]]</f>
        <v>0</v>
      </c>
      <c r="R566" s="28">
        <f>data[[#This Row],[Cantidad]]*data[[#This Row],[Precio de Venta Cliente ($/Unid)]]</f>
        <v>168.18</v>
      </c>
      <c r="S566" s="29"/>
      <c r="T566" s="106" t="s">
        <v>36</v>
      </c>
      <c r="U566" s="106"/>
      <c r="V566" s="30" t="s">
        <v>42</v>
      </c>
      <c r="W566" s="174" t="s">
        <v>42</v>
      </c>
      <c r="X566" s="22" t="s">
        <v>23</v>
      </c>
      <c r="Y566" s="22" t="s">
        <v>23</v>
      </c>
      <c r="Z566" s="22" t="s">
        <v>50</v>
      </c>
      <c r="AA566" s="106"/>
    </row>
    <row r="567" spans="2:27" x14ac:dyDescent="0.25">
      <c r="B567" s="23"/>
      <c r="C567" s="174" t="str">
        <f>TEXT(data[[#This Row],[Fecha de Envío
Cotización]],"MMMM")</f>
        <v>marzo</v>
      </c>
      <c r="D567" s="174">
        <v>44272</v>
      </c>
      <c r="E567" s="130" t="str">
        <f>IF(data[[#This Row],[Estatus de 
Cotización]]="PERDIDO","N/A","")</f>
        <v>N/A</v>
      </c>
      <c r="F567" s="23"/>
      <c r="G567" s="109"/>
      <c r="H567" s="23"/>
      <c r="I567" s="86">
        <v>511600</v>
      </c>
      <c r="J567" s="87">
        <v>20148</v>
      </c>
      <c r="K567" s="24" t="s">
        <v>65</v>
      </c>
      <c r="L567" s="22"/>
      <c r="M567" s="108" t="s">
        <v>677</v>
      </c>
      <c r="N567" s="22">
        <v>6</v>
      </c>
      <c r="O567" s="26"/>
      <c r="P567" s="27">
        <v>36.950000000000003</v>
      </c>
      <c r="Q567" s="28">
        <f>data[[#This Row],[Costo Producto
Proveedor ($/Unid)]]*data[[#This Row],[Cantidad]]</f>
        <v>0</v>
      </c>
      <c r="R567" s="28">
        <f>data[[#This Row],[Cantidad]]*data[[#This Row],[Precio de Venta Cliente ($/Unid)]]</f>
        <v>221.70000000000002</v>
      </c>
      <c r="S567" s="29"/>
      <c r="T567" s="106" t="s">
        <v>36</v>
      </c>
      <c r="U567" s="106"/>
      <c r="V567" s="30" t="s">
        <v>42</v>
      </c>
      <c r="W567" s="174" t="s">
        <v>42</v>
      </c>
      <c r="X567" s="22" t="s">
        <v>23</v>
      </c>
      <c r="Y567" s="22" t="s">
        <v>23</v>
      </c>
      <c r="Z567" s="22" t="s">
        <v>50</v>
      </c>
      <c r="AA567" s="106"/>
    </row>
    <row r="568" spans="2:27" x14ac:dyDescent="0.25">
      <c r="B568" s="23"/>
      <c r="C568" s="174" t="str">
        <f>TEXT(data[[#This Row],[Fecha de Envío
Cotización]],"MMMM")</f>
        <v>marzo</v>
      </c>
      <c r="D568" s="174">
        <v>44272</v>
      </c>
      <c r="E568" s="130" t="str">
        <f>IF(data[[#This Row],[Estatus de 
Cotización]]="PERDIDO","N/A","")</f>
        <v>N/A</v>
      </c>
      <c r="F568" s="23"/>
      <c r="G568" s="109"/>
      <c r="H568" s="23"/>
      <c r="I568" s="86">
        <v>511601</v>
      </c>
      <c r="J568" s="87">
        <v>20148</v>
      </c>
      <c r="K568" s="24" t="s">
        <v>65</v>
      </c>
      <c r="L568" s="22"/>
      <c r="M568" s="108" t="s">
        <v>678</v>
      </c>
      <c r="N568" s="22">
        <v>6</v>
      </c>
      <c r="O568" s="26"/>
      <c r="P568" s="27">
        <v>60.8</v>
      </c>
      <c r="Q568" s="28">
        <f>data[[#This Row],[Costo Producto
Proveedor ($/Unid)]]*data[[#This Row],[Cantidad]]</f>
        <v>0</v>
      </c>
      <c r="R568" s="28">
        <f>data[[#This Row],[Cantidad]]*data[[#This Row],[Precio de Venta Cliente ($/Unid)]]</f>
        <v>364.79999999999995</v>
      </c>
      <c r="S568" s="29"/>
      <c r="T568" s="106" t="s">
        <v>36</v>
      </c>
      <c r="U568" s="106"/>
      <c r="V568" s="30" t="s">
        <v>42</v>
      </c>
      <c r="W568" s="174" t="s">
        <v>42</v>
      </c>
      <c r="X568" s="22" t="s">
        <v>23</v>
      </c>
      <c r="Y568" s="22" t="s">
        <v>23</v>
      </c>
      <c r="Z568" s="22" t="s">
        <v>50</v>
      </c>
      <c r="AA568" s="106"/>
    </row>
    <row r="569" spans="2:27" x14ac:dyDescent="0.25">
      <c r="B569" s="23"/>
      <c r="C569" s="174" t="str">
        <f>TEXT(data[[#This Row],[Fecha de Envío
Cotización]],"MMMM")</f>
        <v>marzo</v>
      </c>
      <c r="D569" s="174">
        <v>44272</v>
      </c>
      <c r="E569" s="130" t="str">
        <f>IF(data[[#This Row],[Estatus de 
Cotización]]="PERDIDO","N/A","")</f>
        <v>N/A</v>
      </c>
      <c r="F569" s="23"/>
      <c r="G569" s="109"/>
      <c r="H569" s="23"/>
      <c r="I569" s="86">
        <v>511602</v>
      </c>
      <c r="J569" s="87">
        <v>20148</v>
      </c>
      <c r="K569" s="24" t="s">
        <v>65</v>
      </c>
      <c r="L569" s="22"/>
      <c r="M569" s="108" t="s">
        <v>679</v>
      </c>
      <c r="N569" s="22">
        <v>20</v>
      </c>
      <c r="O569" s="26"/>
      <c r="P569" s="27">
        <v>33.92</v>
      </c>
      <c r="Q569" s="28">
        <f>data[[#This Row],[Costo Producto
Proveedor ($/Unid)]]*data[[#This Row],[Cantidad]]</f>
        <v>0</v>
      </c>
      <c r="R569" s="28">
        <f>data[[#This Row],[Cantidad]]*data[[#This Row],[Precio de Venta Cliente ($/Unid)]]</f>
        <v>678.40000000000009</v>
      </c>
      <c r="S569" s="29"/>
      <c r="T569" s="106" t="s">
        <v>36</v>
      </c>
      <c r="U569" s="106"/>
      <c r="V569" s="30" t="s">
        <v>42</v>
      </c>
      <c r="W569" s="174" t="s">
        <v>42</v>
      </c>
      <c r="X569" s="22" t="s">
        <v>23</v>
      </c>
      <c r="Y569" s="22" t="s">
        <v>23</v>
      </c>
      <c r="Z569" s="22" t="s">
        <v>50</v>
      </c>
      <c r="AA569" s="106"/>
    </row>
    <row r="570" spans="2:27" x14ac:dyDescent="0.25">
      <c r="B570" s="23"/>
      <c r="C570" s="174" t="str">
        <f>TEXT(data[[#This Row],[Fecha de Envío
Cotización]],"MMMM")</f>
        <v>marzo</v>
      </c>
      <c r="D570" s="174">
        <v>44272</v>
      </c>
      <c r="E570" s="130" t="str">
        <f>IF(data[[#This Row],[Estatus de 
Cotización]]="PERDIDO","N/A","")</f>
        <v>N/A</v>
      </c>
      <c r="F570" s="23"/>
      <c r="G570" s="109"/>
      <c r="H570" s="23"/>
      <c r="I570" s="86">
        <v>511603</v>
      </c>
      <c r="J570" s="87">
        <v>20148</v>
      </c>
      <c r="K570" s="24" t="s">
        <v>65</v>
      </c>
      <c r="L570" s="22"/>
      <c r="M570" s="108" t="s">
        <v>680</v>
      </c>
      <c r="N570" s="22">
        <v>8</v>
      </c>
      <c r="O570" s="26"/>
      <c r="P570" s="27">
        <v>296</v>
      </c>
      <c r="Q570" s="28">
        <f>data[[#This Row],[Costo Producto
Proveedor ($/Unid)]]*data[[#This Row],[Cantidad]]</f>
        <v>0</v>
      </c>
      <c r="R570" s="28">
        <f>data[[#This Row],[Cantidad]]*data[[#This Row],[Precio de Venta Cliente ($/Unid)]]</f>
        <v>2368</v>
      </c>
      <c r="S570" s="29"/>
      <c r="T570" s="106" t="s">
        <v>36</v>
      </c>
      <c r="U570" s="106"/>
      <c r="V570" s="30" t="s">
        <v>42</v>
      </c>
      <c r="W570" s="174" t="s">
        <v>42</v>
      </c>
      <c r="X570" s="22" t="s">
        <v>23</v>
      </c>
      <c r="Y570" s="22" t="s">
        <v>23</v>
      </c>
      <c r="Z570" s="22" t="s">
        <v>50</v>
      </c>
      <c r="AA570" s="106"/>
    </row>
    <row r="571" spans="2:27" x14ac:dyDescent="0.25">
      <c r="B571" s="23"/>
      <c r="C571" s="174" t="str">
        <f>TEXT(data[[#This Row],[Fecha de Envío
Cotización]],"MMMM")</f>
        <v>marzo</v>
      </c>
      <c r="D571" s="174">
        <v>44272</v>
      </c>
      <c r="E571" s="130" t="str">
        <f>IF(data[[#This Row],[Estatus de 
Cotización]]="PERDIDO","N/A","")</f>
        <v>N/A</v>
      </c>
      <c r="F571" s="23"/>
      <c r="G571" s="109"/>
      <c r="H571" s="23"/>
      <c r="I571" s="86">
        <v>511604</v>
      </c>
      <c r="J571" s="87">
        <v>20148</v>
      </c>
      <c r="K571" s="24" t="s">
        <v>65</v>
      </c>
      <c r="L571" s="22"/>
      <c r="M571" s="108" t="s">
        <v>681</v>
      </c>
      <c r="N571" s="22">
        <v>16</v>
      </c>
      <c r="O571" s="26"/>
      <c r="P571" s="27">
        <v>125.85</v>
      </c>
      <c r="Q571" s="28">
        <f>data[[#This Row],[Costo Producto
Proveedor ($/Unid)]]*data[[#This Row],[Cantidad]]</f>
        <v>0</v>
      </c>
      <c r="R571" s="28">
        <f>data[[#This Row],[Cantidad]]*data[[#This Row],[Precio de Venta Cliente ($/Unid)]]</f>
        <v>2013.6</v>
      </c>
      <c r="S571" s="29"/>
      <c r="T571" s="106" t="s">
        <v>36</v>
      </c>
      <c r="U571" s="106"/>
      <c r="V571" s="30" t="s">
        <v>42</v>
      </c>
      <c r="W571" s="174" t="s">
        <v>42</v>
      </c>
      <c r="X571" s="22" t="s">
        <v>23</v>
      </c>
      <c r="Y571" s="22" t="s">
        <v>23</v>
      </c>
      <c r="Z571" s="22" t="s">
        <v>50</v>
      </c>
      <c r="AA571" s="106"/>
    </row>
    <row r="572" spans="2:27" x14ac:dyDescent="0.25">
      <c r="B572" s="174"/>
      <c r="C572" s="174" t="str">
        <f>TEXT(data[[#This Row],[Fecha de Envío
Cotización]],"MMMM")</f>
        <v>marzo</v>
      </c>
      <c r="D572" s="174">
        <v>44272</v>
      </c>
      <c r="E572" s="130" t="str">
        <f>IF(data[[#This Row],[Estatus de 
Cotización]]="PERDIDO","N/A","")</f>
        <v>N/A</v>
      </c>
      <c r="F572" s="174"/>
      <c r="G572" s="109"/>
      <c r="H572" s="174"/>
      <c r="I572" s="86">
        <v>511605</v>
      </c>
      <c r="J572" s="87">
        <v>20148</v>
      </c>
      <c r="K572" s="24" t="s">
        <v>65</v>
      </c>
      <c r="L572" s="106"/>
      <c r="M572" s="108" t="s">
        <v>682</v>
      </c>
      <c r="N572" s="106">
        <v>12</v>
      </c>
      <c r="O572" s="107"/>
      <c r="P572" s="27">
        <v>51.52</v>
      </c>
      <c r="Q572" s="28">
        <f>data[[#This Row],[Costo Producto
Proveedor ($/Unid)]]*data[[#This Row],[Cantidad]]</f>
        <v>0</v>
      </c>
      <c r="R572" s="28">
        <f>data[[#This Row],[Cantidad]]*data[[#This Row],[Precio de Venta Cliente ($/Unid)]]</f>
        <v>618.24</v>
      </c>
      <c r="S572" s="29"/>
      <c r="T572" s="106" t="s">
        <v>36</v>
      </c>
      <c r="U572" s="106"/>
      <c r="V572" s="30" t="s">
        <v>42</v>
      </c>
      <c r="W572" s="174" t="s">
        <v>42</v>
      </c>
      <c r="X572" s="106" t="s">
        <v>23</v>
      </c>
      <c r="Y572" s="106" t="s">
        <v>23</v>
      </c>
      <c r="Z572" s="106" t="s">
        <v>50</v>
      </c>
      <c r="AA572" s="106"/>
    </row>
    <row r="573" spans="2:27" x14ac:dyDescent="0.25">
      <c r="B573" s="174"/>
      <c r="C573" s="174" t="str">
        <f>TEXT(data[[#This Row],[Fecha de Envío
Cotización]],"MMMM")</f>
        <v>marzo</v>
      </c>
      <c r="D573" s="174">
        <v>44272</v>
      </c>
      <c r="E573" s="130" t="str">
        <f>IF(data[[#This Row],[Estatus de 
Cotización]]="PERDIDO","N/A","")</f>
        <v>N/A</v>
      </c>
      <c r="F573" s="174"/>
      <c r="G573" s="109"/>
      <c r="H573" s="174"/>
      <c r="I573" s="86">
        <v>511606</v>
      </c>
      <c r="J573" s="87">
        <v>20148</v>
      </c>
      <c r="K573" s="24" t="s">
        <v>65</v>
      </c>
      <c r="L573" s="106"/>
      <c r="M573" s="108" t="s">
        <v>683</v>
      </c>
      <c r="N573" s="106">
        <v>6</v>
      </c>
      <c r="O573" s="107"/>
      <c r="P573" s="27">
        <v>64.48</v>
      </c>
      <c r="Q573" s="28">
        <f>data[[#This Row],[Costo Producto
Proveedor ($/Unid)]]*data[[#This Row],[Cantidad]]</f>
        <v>0</v>
      </c>
      <c r="R573" s="28">
        <f>data[[#This Row],[Cantidad]]*data[[#This Row],[Precio de Venta Cliente ($/Unid)]]</f>
        <v>386.88</v>
      </c>
      <c r="S573" s="29"/>
      <c r="T573" s="106" t="s">
        <v>36</v>
      </c>
      <c r="U573" s="106"/>
      <c r="V573" s="30" t="s">
        <v>42</v>
      </c>
      <c r="W573" s="174" t="s">
        <v>42</v>
      </c>
      <c r="X573" s="106" t="s">
        <v>23</v>
      </c>
      <c r="Y573" s="106" t="s">
        <v>23</v>
      </c>
      <c r="Z573" s="106" t="s">
        <v>50</v>
      </c>
      <c r="AA573" s="106"/>
    </row>
    <row r="574" spans="2:27" x14ac:dyDescent="0.25">
      <c r="B574" s="174"/>
      <c r="C574" s="174" t="str">
        <f>TEXT(data[[#This Row],[Fecha de Envío
Cotización]],"MMMM")</f>
        <v>marzo</v>
      </c>
      <c r="D574" s="174">
        <v>44272</v>
      </c>
      <c r="E574" s="130" t="str">
        <f>IF(data[[#This Row],[Estatus de 
Cotización]]="PERDIDO","N/A","")</f>
        <v>N/A</v>
      </c>
      <c r="F574" s="174"/>
      <c r="G574" s="109"/>
      <c r="H574" s="174"/>
      <c r="I574" s="86">
        <v>511607</v>
      </c>
      <c r="J574" s="87">
        <v>20148</v>
      </c>
      <c r="K574" s="24" t="s">
        <v>65</v>
      </c>
      <c r="L574" s="106"/>
      <c r="M574" s="108" t="s">
        <v>684</v>
      </c>
      <c r="N574" s="106">
        <v>8</v>
      </c>
      <c r="O574" s="107"/>
      <c r="P574" s="27">
        <v>17.23</v>
      </c>
      <c r="Q574" s="28">
        <f>data[[#This Row],[Costo Producto
Proveedor ($/Unid)]]*data[[#This Row],[Cantidad]]</f>
        <v>0</v>
      </c>
      <c r="R574" s="28">
        <f>data[[#This Row],[Cantidad]]*data[[#This Row],[Precio de Venta Cliente ($/Unid)]]</f>
        <v>137.84</v>
      </c>
      <c r="S574" s="29"/>
      <c r="T574" s="106" t="s">
        <v>36</v>
      </c>
      <c r="U574" s="106"/>
      <c r="V574" s="30" t="s">
        <v>42</v>
      </c>
      <c r="W574" s="174" t="s">
        <v>42</v>
      </c>
      <c r="X574" s="106" t="s">
        <v>23</v>
      </c>
      <c r="Y574" s="106" t="s">
        <v>23</v>
      </c>
      <c r="Z574" s="106" t="s">
        <v>50</v>
      </c>
      <c r="AA574" s="106"/>
    </row>
    <row r="575" spans="2:27" x14ac:dyDescent="0.25">
      <c r="B575" s="174"/>
      <c r="C575" s="174" t="str">
        <f>TEXT(data[[#This Row],[Fecha de Envío
Cotización]],"MMMM")</f>
        <v>marzo</v>
      </c>
      <c r="D575" s="174">
        <v>44272</v>
      </c>
      <c r="E575" s="130" t="str">
        <f>IF(data[[#This Row],[Estatus de 
Cotización]]="PERDIDO","N/A","")</f>
        <v>N/A</v>
      </c>
      <c r="F575" s="174"/>
      <c r="G575" s="109"/>
      <c r="H575" s="174"/>
      <c r="I575" s="86">
        <v>511608</v>
      </c>
      <c r="J575" s="87">
        <v>20148</v>
      </c>
      <c r="K575" s="24" t="s">
        <v>65</v>
      </c>
      <c r="L575" s="106"/>
      <c r="M575" s="108" t="s">
        <v>685</v>
      </c>
      <c r="N575" s="106">
        <v>16</v>
      </c>
      <c r="O575" s="107"/>
      <c r="P575" s="27">
        <v>39.119999999999997</v>
      </c>
      <c r="Q575" s="28">
        <f>data[[#This Row],[Costo Producto
Proveedor ($/Unid)]]*data[[#This Row],[Cantidad]]</f>
        <v>0</v>
      </c>
      <c r="R575" s="28">
        <f>data[[#This Row],[Cantidad]]*data[[#This Row],[Precio de Venta Cliente ($/Unid)]]</f>
        <v>625.91999999999996</v>
      </c>
      <c r="S575" s="29"/>
      <c r="T575" s="106" t="s">
        <v>36</v>
      </c>
      <c r="U575" s="106"/>
      <c r="V575" s="30" t="s">
        <v>42</v>
      </c>
      <c r="W575" s="174" t="s">
        <v>42</v>
      </c>
      <c r="X575" s="106" t="s">
        <v>23</v>
      </c>
      <c r="Y575" s="106" t="s">
        <v>23</v>
      </c>
      <c r="Z575" s="106" t="s">
        <v>50</v>
      </c>
      <c r="AA575" s="106"/>
    </row>
    <row r="576" spans="2:27" x14ac:dyDescent="0.25">
      <c r="B576" s="174"/>
      <c r="C576" s="174" t="str">
        <f>TEXT(data[[#This Row],[Fecha de Envío
Cotización]],"MMMM")</f>
        <v>marzo</v>
      </c>
      <c r="D576" s="174">
        <v>44272</v>
      </c>
      <c r="E576" s="130" t="str">
        <f>IF(data[[#This Row],[Estatus de 
Cotización]]="PERDIDO","N/A","")</f>
        <v>N/A</v>
      </c>
      <c r="F576" s="174"/>
      <c r="G576" s="109"/>
      <c r="H576" s="174"/>
      <c r="I576" s="86">
        <v>511609</v>
      </c>
      <c r="J576" s="87">
        <v>20148</v>
      </c>
      <c r="K576" s="24" t="s">
        <v>65</v>
      </c>
      <c r="L576" s="106"/>
      <c r="M576" s="108" t="s">
        <v>686</v>
      </c>
      <c r="N576" s="106">
        <v>10</v>
      </c>
      <c r="O576" s="107"/>
      <c r="P576" s="27">
        <v>105.12</v>
      </c>
      <c r="Q576" s="28">
        <f>data[[#This Row],[Costo Producto
Proveedor ($/Unid)]]*data[[#This Row],[Cantidad]]</f>
        <v>0</v>
      </c>
      <c r="R576" s="28">
        <f>data[[#This Row],[Cantidad]]*data[[#This Row],[Precio de Venta Cliente ($/Unid)]]</f>
        <v>1051.2</v>
      </c>
      <c r="S576" s="29"/>
      <c r="T576" s="106" t="s">
        <v>36</v>
      </c>
      <c r="U576" s="106"/>
      <c r="V576" s="30" t="s">
        <v>42</v>
      </c>
      <c r="W576" s="174" t="s">
        <v>42</v>
      </c>
      <c r="X576" s="106" t="s">
        <v>23</v>
      </c>
      <c r="Y576" s="106" t="s">
        <v>23</v>
      </c>
      <c r="Z576" s="106" t="s">
        <v>50</v>
      </c>
      <c r="AA576" s="106"/>
    </row>
    <row r="577" spans="2:27" x14ac:dyDescent="0.25">
      <c r="B577" s="174"/>
      <c r="C577" s="174" t="str">
        <f>TEXT(data[[#This Row],[Fecha de Envío
Cotización]],"MMMM")</f>
        <v>marzo</v>
      </c>
      <c r="D577" s="174">
        <v>44272</v>
      </c>
      <c r="E577" s="130" t="str">
        <f>IF(data[[#This Row],[Estatus de 
Cotización]]="PERDIDO","N/A","")</f>
        <v>N/A</v>
      </c>
      <c r="F577" s="174"/>
      <c r="G577" s="109"/>
      <c r="H577" s="174"/>
      <c r="I577" s="86">
        <v>511610</v>
      </c>
      <c r="J577" s="87">
        <v>20148</v>
      </c>
      <c r="K577" s="24" t="s">
        <v>65</v>
      </c>
      <c r="L577" s="106"/>
      <c r="M577" s="108" t="s">
        <v>687</v>
      </c>
      <c r="N577" s="106">
        <v>1</v>
      </c>
      <c r="O577" s="107"/>
      <c r="P577" s="27">
        <v>1174.9000000000001</v>
      </c>
      <c r="Q577" s="28">
        <f>data[[#This Row],[Costo Producto
Proveedor ($/Unid)]]*data[[#This Row],[Cantidad]]</f>
        <v>0</v>
      </c>
      <c r="R577" s="28">
        <f>data[[#This Row],[Cantidad]]*data[[#This Row],[Precio de Venta Cliente ($/Unid)]]</f>
        <v>1174.9000000000001</v>
      </c>
      <c r="S577" s="29"/>
      <c r="T577" s="106" t="s">
        <v>36</v>
      </c>
      <c r="U577" s="106"/>
      <c r="V577" s="30" t="s">
        <v>42</v>
      </c>
      <c r="W577" s="174" t="s">
        <v>42</v>
      </c>
      <c r="X577" s="106" t="s">
        <v>23</v>
      </c>
      <c r="Y577" s="106" t="s">
        <v>23</v>
      </c>
      <c r="Z577" s="106" t="s">
        <v>50</v>
      </c>
      <c r="AA577" s="106"/>
    </row>
    <row r="578" spans="2:27" x14ac:dyDescent="0.25">
      <c r="B578" s="174"/>
      <c r="C578" s="174" t="str">
        <f>TEXT(data[[#This Row],[Fecha de Envío
Cotización]],"MMMM")</f>
        <v>marzo</v>
      </c>
      <c r="D578" s="174">
        <v>44272</v>
      </c>
      <c r="E578" s="130" t="str">
        <f>IF(data[[#This Row],[Estatus de 
Cotización]]="PERDIDO","N/A","")</f>
        <v>N/A</v>
      </c>
      <c r="F578" s="174"/>
      <c r="G578" s="109"/>
      <c r="H578" s="174"/>
      <c r="I578" s="86">
        <v>511611</v>
      </c>
      <c r="J578" s="87">
        <v>20148</v>
      </c>
      <c r="K578" s="24" t="s">
        <v>65</v>
      </c>
      <c r="L578" s="106"/>
      <c r="M578" s="108" t="s">
        <v>688</v>
      </c>
      <c r="N578" s="106">
        <v>1</v>
      </c>
      <c r="O578" s="107"/>
      <c r="P578" s="27">
        <v>2195.3000000000002</v>
      </c>
      <c r="Q578" s="28">
        <f>data[[#This Row],[Costo Producto
Proveedor ($/Unid)]]*data[[#This Row],[Cantidad]]</f>
        <v>0</v>
      </c>
      <c r="R578" s="28">
        <f>data[[#This Row],[Cantidad]]*data[[#This Row],[Precio de Venta Cliente ($/Unid)]]</f>
        <v>2195.3000000000002</v>
      </c>
      <c r="S578" s="29"/>
      <c r="T578" s="106" t="s">
        <v>36</v>
      </c>
      <c r="U578" s="106"/>
      <c r="V578" s="30" t="s">
        <v>42</v>
      </c>
      <c r="W578" s="174" t="s">
        <v>42</v>
      </c>
      <c r="X578" s="106" t="s">
        <v>23</v>
      </c>
      <c r="Y578" s="106" t="s">
        <v>23</v>
      </c>
      <c r="Z578" s="106" t="s">
        <v>50</v>
      </c>
      <c r="AA578" s="106"/>
    </row>
    <row r="579" spans="2:27" x14ac:dyDescent="0.25">
      <c r="B579" s="174"/>
      <c r="C579" s="174" t="str">
        <f>TEXT(data[[#This Row],[Fecha de Envío
Cotización]],"MMMM")</f>
        <v>marzo</v>
      </c>
      <c r="D579" s="174">
        <v>44273</v>
      </c>
      <c r="E579" s="174" t="str">
        <f>IF(data[[#This Row],[Estatus de 
Cotización]]="PERDIDO","N/A","")</f>
        <v>N/A</v>
      </c>
      <c r="F579" s="174"/>
      <c r="G579" s="109"/>
      <c r="H579" s="174"/>
      <c r="I579" s="86">
        <v>511616</v>
      </c>
      <c r="J579" s="87">
        <v>20158</v>
      </c>
      <c r="K579" s="24" t="s">
        <v>33</v>
      </c>
      <c r="L579" s="106"/>
      <c r="M579" s="108" t="s">
        <v>690</v>
      </c>
      <c r="N579" s="106">
        <v>2</v>
      </c>
      <c r="O579" s="107"/>
      <c r="P579" s="27">
        <v>199.2</v>
      </c>
      <c r="Q579" s="28">
        <f>data[[#This Row],[Costo Producto
Proveedor ($/Unid)]]*data[[#This Row],[Cantidad]]</f>
        <v>0</v>
      </c>
      <c r="R579" s="119">
        <f>data[[#This Row],[Cantidad]]*data[[#This Row],[Precio de Venta Cliente ($/Unid)]]</f>
        <v>398.4</v>
      </c>
      <c r="S579" s="29"/>
      <c r="T579" s="106" t="s">
        <v>87</v>
      </c>
      <c r="U579" s="106"/>
      <c r="V579" s="30" t="s">
        <v>42</v>
      </c>
      <c r="W579" s="174" t="s">
        <v>42</v>
      </c>
      <c r="X579" s="106" t="s">
        <v>23</v>
      </c>
      <c r="Y579" s="106" t="s">
        <v>23</v>
      </c>
      <c r="Z579" s="106" t="s">
        <v>50</v>
      </c>
      <c r="AA579" s="106"/>
    </row>
    <row r="580" spans="2:27" x14ac:dyDescent="0.25">
      <c r="B580" s="174"/>
      <c r="C580" s="174" t="str">
        <f>TEXT(data[[#This Row],[Fecha de Envío
Cotización]],"MMMM")</f>
        <v>marzo</v>
      </c>
      <c r="D580" s="174">
        <v>44273</v>
      </c>
      <c r="E580" s="130" t="str">
        <f>IF(data[[#This Row],[Estatus de 
Cotización]]="PERDIDO","N/A","")</f>
        <v>N/A</v>
      </c>
      <c r="F580" s="174"/>
      <c r="G580" s="109"/>
      <c r="H580" s="174"/>
      <c r="I580" s="86">
        <v>511617</v>
      </c>
      <c r="J580" s="87">
        <v>20149</v>
      </c>
      <c r="K580" s="24" t="s">
        <v>65</v>
      </c>
      <c r="L580" s="106"/>
      <c r="M580" s="108" t="s">
        <v>691</v>
      </c>
      <c r="N580" s="106">
        <v>5</v>
      </c>
      <c r="O580" s="107"/>
      <c r="P580" s="27">
        <v>190.63</v>
      </c>
      <c r="Q580" s="28">
        <f>data[[#This Row],[Costo Producto
Proveedor ($/Unid)]]*data[[#This Row],[Cantidad]]</f>
        <v>0</v>
      </c>
      <c r="R580" s="28">
        <f>data[[#This Row],[Cantidad]]*data[[#This Row],[Precio de Venta Cliente ($/Unid)]]</f>
        <v>953.15</v>
      </c>
      <c r="S580" s="29"/>
      <c r="T580" s="106" t="s">
        <v>36</v>
      </c>
      <c r="U580" s="106"/>
      <c r="V580" s="30" t="s">
        <v>42</v>
      </c>
      <c r="W580" s="174" t="s">
        <v>42</v>
      </c>
      <c r="X580" s="106" t="s">
        <v>23</v>
      </c>
      <c r="Y580" s="106" t="s">
        <v>23</v>
      </c>
      <c r="Z580" s="106" t="s">
        <v>50</v>
      </c>
      <c r="AA580" s="106"/>
    </row>
    <row r="581" spans="2:27" x14ac:dyDescent="0.25">
      <c r="B581" s="174"/>
      <c r="C581" s="174" t="str">
        <f>TEXT(data[[#This Row],[Fecha de Envío
Cotización]],"MMMM")</f>
        <v>marzo</v>
      </c>
      <c r="D581" s="174">
        <v>44277</v>
      </c>
      <c r="E581" s="174">
        <v>44285</v>
      </c>
      <c r="F581" s="174"/>
      <c r="G581" s="109">
        <v>4500478582</v>
      </c>
      <c r="H581" s="174"/>
      <c r="I581" s="86">
        <v>511635</v>
      </c>
      <c r="J581" s="87">
        <v>20166</v>
      </c>
      <c r="K581" s="24" t="s">
        <v>90</v>
      </c>
      <c r="L581" s="106"/>
      <c r="M581" s="108" t="s">
        <v>692</v>
      </c>
      <c r="N581" s="106">
        <v>4</v>
      </c>
      <c r="O581" s="107"/>
      <c r="P581" s="27">
        <v>216.05</v>
      </c>
      <c r="Q581" s="28">
        <f>data[[#This Row],[Costo Producto
Proveedor ($/Unid)]]*data[[#This Row],[Cantidad]]</f>
        <v>0</v>
      </c>
      <c r="R581" s="121">
        <f>data[[#This Row],[Cantidad]]*data[[#This Row],[Precio de Venta Cliente ($/Unid)]]</f>
        <v>864.2</v>
      </c>
      <c r="S581" s="29"/>
      <c r="T581" s="106" t="s">
        <v>16</v>
      </c>
      <c r="U581" s="106"/>
      <c r="V581" s="30" t="s">
        <v>44</v>
      </c>
      <c r="W581" s="32" t="s">
        <v>46</v>
      </c>
      <c r="X581" s="106" t="s">
        <v>503</v>
      </c>
      <c r="Y581" s="106" t="s">
        <v>503</v>
      </c>
      <c r="Z581" s="106" t="s">
        <v>50</v>
      </c>
      <c r="AA581" s="106"/>
    </row>
    <row r="582" spans="2:27" x14ac:dyDescent="0.25">
      <c r="B582" s="174"/>
      <c r="C582" s="174" t="str">
        <f>TEXT(data[[#This Row],[Fecha de Envío
Cotización]],"MMMM")</f>
        <v>marzo</v>
      </c>
      <c r="D582" s="174">
        <v>44277</v>
      </c>
      <c r="E582" s="174">
        <v>44285</v>
      </c>
      <c r="F582" s="174"/>
      <c r="G582" s="109">
        <v>4500478582</v>
      </c>
      <c r="H582" s="174"/>
      <c r="I582" s="86">
        <v>511636</v>
      </c>
      <c r="J582" s="87">
        <v>20166</v>
      </c>
      <c r="K582" s="24" t="s">
        <v>90</v>
      </c>
      <c r="L582" s="106"/>
      <c r="M582" s="108" t="s">
        <v>693</v>
      </c>
      <c r="N582" s="106">
        <v>4</v>
      </c>
      <c r="O582" s="107"/>
      <c r="P582" s="27">
        <v>403.98</v>
      </c>
      <c r="Q582" s="28">
        <f>data[[#This Row],[Costo Producto
Proveedor ($/Unid)]]*data[[#This Row],[Cantidad]]</f>
        <v>0</v>
      </c>
      <c r="R582" s="121">
        <f>data[[#This Row],[Cantidad]]*data[[#This Row],[Precio de Venta Cliente ($/Unid)]]</f>
        <v>1615.92</v>
      </c>
      <c r="S582" s="29"/>
      <c r="T582" s="106" t="s">
        <v>16</v>
      </c>
      <c r="U582" s="106"/>
      <c r="V582" s="30" t="s">
        <v>44</v>
      </c>
      <c r="W582" s="32" t="s">
        <v>46</v>
      </c>
      <c r="X582" s="106" t="s">
        <v>503</v>
      </c>
      <c r="Y582" s="106" t="s">
        <v>503</v>
      </c>
      <c r="Z582" s="106" t="s">
        <v>50</v>
      </c>
      <c r="AA582" s="106"/>
    </row>
    <row r="583" spans="2:27" x14ac:dyDescent="0.25">
      <c r="B583" s="174"/>
      <c r="C583" s="174" t="str">
        <f>TEXT(data[[#This Row],[Fecha de Envío
Cotización]],"MMMM")</f>
        <v>marzo</v>
      </c>
      <c r="D583" s="174">
        <v>44277</v>
      </c>
      <c r="E583" s="174">
        <v>44280</v>
      </c>
      <c r="F583" s="174">
        <v>44300</v>
      </c>
      <c r="G583" s="109">
        <v>4500478503</v>
      </c>
      <c r="H583" s="174">
        <v>44277</v>
      </c>
      <c r="I583" s="86">
        <v>511645</v>
      </c>
      <c r="J583" s="87">
        <v>20167</v>
      </c>
      <c r="K583" s="24" t="s">
        <v>90</v>
      </c>
      <c r="L583" s="106"/>
      <c r="M583" s="108" t="s">
        <v>702</v>
      </c>
      <c r="N583" s="106">
        <v>1</v>
      </c>
      <c r="O583" s="107"/>
      <c r="P583" s="27">
        <v>506.46</v>
      </c>
      <c r="Q583" s="28">
        <f>data[[#This Row],[Costo Producto
Proveedor ($/Unid)]]*data[[#This Row],[Cantidad]]</f>
        <v>0</v>
      </c>
      <c r="R583" s="120">
        <f>data[[#This Row],[Cantidad]]*data[[#This Row],[Precio de Venta Cliente ($/Unid)]]</f>
        <v>506.46</v>
      </c>
      <c r="S583" s="29"/>
      <c r="T583" s="106" t="s">
        <v>16</v>
      </c>
      <c r="U583" s="106"/>
      <c r="V583" s="30" t="s">
        <v>44</v>
      </c>
      <c r="W583" s="32" t="s">
        <v>44</v>
      </c>
      <c r="X583" s="106" t="s">
        <v>45</v>
      </c>
      <c r="Y583" s="106" t="s">
        <v>503</v>
      </c>
      <c r="Z583" s="106" t="s">
        <v>50</v>
      </c>
      <c r="AA583" s="106"/>
    </row>
    <row r="584" spans="2:27" x14ac:dyDescent="0.25">
      <c r="B584" s="174"/>
      <c r="C584" s="174" t="str">
        <f>TEXT(data[[#This Row],[Fecha de Envío
Cotización]],"MMMM")</f>
        <v>marzo</v>
      </c>
      <c r="D584" s="174">
        <v>44277</v>
      </c>
      <c r="E584" s="130" t="str">
        <f>IF(data[[#This Row],[Estatus de 
Cotización]]="PERDIDO","N/A","")</f>
        <v>N/A</v>
      </c>
      <c r="F584" s="174"/>
      <c r="G584" s="109"/>
      <c r="H584" s="174"/>
      <c r="I584" s="86">
        <v>511637</v>
      </c>
      <c r="J584" s="87">
        <v>20165</v>
      </c>
      <c r="K584" s="24" t="s">
        <v>90</v>
      </c>
      <c r="L584" s="106"/>
      <c r="M584" s="108" t="s">
        <v>694</v>
      </c>
      <c r="N584" s="106">
        <v>4</v>
      </c>
      <c r="O584" s="107"/>
      <c r="P584" s="27">
        <v>52.33</v>
      </c>
      <c r="Q584" s="28">
        <f>data[[#This Row],[Costo Producto
Proveedor ($/Unid)]]*data[[#This Row],[Cantidad]]</f>
        <v>0</v>
      </c>
      <c r="R584" s="28">
        <f>data[[#This Row],[Cantidad]]*data[[#This Row],[Precio de Venta Cliente ($/Unid)]]</f>
        <v>209.32</v>
      </c>
      <c r="S584" s="29"/>
      <c r="T584" s="31" t="s">
        <v>16</v>
      </c>
      <c r="U584" s="106"/>
      <c r="V584" s="30" t="s">
        <v>42</v>
      </c>
      <c r="W584" s="30" t="s">
        <v>42</v>
      </c>
      <c r="X584" s="106" t="s">
        <v>23</v>
      </c>
      <c r="Y584" s="106" t="s">
        <v>23</v>
      </c>
      <c r="Z584" s="106" t="s">
        <v>50</v>
      </c>
      <c r="AA584" s="106"/>
    </row>
    <row r="585" spans="2:27" x14ac:dyDescent="0.25">
      <c r="B585" s="174"/>
      <c r="C585" s="174" t="str">
        <f>TEXT(data[[#This Row],[Fecha de Envío
Cotización]],"MMMM")</f>
        <v>marzo</v>
      </c>
      <c r="D585" s="174">
        <v>44277</v>
      </c>
      <c r="E585" s="130" t="str">
        <f>IF(data[[#This Row],[Estatus de 
Cotización]]="PERDIDO","N/A","")</f>
        <v>N/A</v>
      </c>
      <c r="F585" s="174"/>
      <c r="G585" s="109"/>
      <c r="H585" s="174"/>
      <c r="I585" s="86">
        <v>511638</v>
      </c>
      <c r="J585" s="87">
        <v>20165</v>
      </c>
      <c r="K585" s="24" t="s">
        <v>90</v>
      </c>
      <c r="L585" s="106"/>
      <c r="M585" s="108" t="s">
        <v>695</v>
      </c>
      <c r="N585" s="106">
        <v>4</v>
      </c>
      <c r="O585" s="107"/>
      <c r="P585" s="27">
        <v>114.09</v>
      </c>
      <c r="Q585" s="28">
        <f>data[[#This Row],[Costo Producto
Proveedor ($/Unid)]]*data[[#This Row],[Cantidad]]</f>
        <v>0</v>
      </c>
      <c r="R585" s="28">
        <f>data[[#This Row],[Cantidad]]*data[[#This Row],[Precio de Venta Cliente ($/Unid)]]</f>
        <v>456.36</v>
      </c>
      <c r="S585" s="29"/>
      <c r="T585" s="31" t="s">
        <v>16</v>
      </c>
      <c r="U585" s="106"/>
      <c r="V585" s="30" t="s">
        <v>42</v>
      </c>
      <c r="W585" s="30" t="s">
        <v>42</v>
      </c>
      <c r="X585" s="106" t="s">
        <v>23</v>
      </c>
      <c r="Y585" s="106" t="s">
        <v>23</v>
      </c>
      <c r="Z585" s="106" t="s">
        <v>50</v>
      </c>
      <c r="AA585" s="106"/>
    </row>
    <row r="586" spans="2:27" x14ac:dyDescent="0.25">
      <c r="B586" s="174"/>
      <c r="C586" s="174" t="str">
        <f>TEXT(data[[#This Row],[Fecha de Envío
Cotización]],"MMMM")</f>
        <v>marzo</v>
      </c>
      <c r="D586" s="174">
        <v>44277</v>
      </c>
      <c r="E586" s="130" t="str">
        <f>IF(data[[#This Row],[Estatus de 
Cotización]]="PERDIDO","N/A","")</f>
        <v>N/A</v>
      </c>
      <c r="F586" s="174"/>
      <c r="G586" s="109"/>
      <c r="H586" s="174"/>
      <c r="I586" s="86">
        <v>511639</v>
      </c>
      <c r="J586" s="87">
        <v>20165</v>
      </c>
      <c r="K586" s="24" t="s">
        <v>90</v>
      </c>
      <c r="L586" s="106"/>
      <c r="M586" s="108" t="s">
        <v>696</v>
      </c>
      <c r="N586" s="106">
        <v>3</v>
      </c>
      <c r="O586" s="107"/>
      <c r="P586" s="27">
        <v>121.94</v>
      </c>
      <c r="Q586" s="28">
        <f>data[[#This Row],[Costo Producto
Proveedor ($/Unid)]]*data[[#This Row],[Cantidad]]</f>
        <v>0</v>
      </c>
      <c r="R586" s="28">
        <f>data[[#This Row],[Cantidad]]*data[[#This Row],[Precio de Venta Cliente ($/Unid)]]</f>
        <v>365.82</v>
      </c>
      <c r="S586" s="29"/>
      <c r="T586" s="31" t="s">
        <v>16</v>
      </c>
      <c r="U586" s="106"/>
      <c r="V586" s="30" t="s">
        <v>42</v>
      </c>
      <c r="W586" s="30" t="s">
        <v>42</v>
      </c>
      <c r="X586" s="106" t="s">
        <v>23</v>
      </c>
      <c r="Y586" s="106" t="s">
        <v>23</v>
      </c>
      <c r="Z586" s="106" t="s">
        <v>50</v>
      </c>
      <c r="AA586" s="106"/>
    </row>
    <row r="587" spans="2:27" x14ac:dyDescent="0.25">
      <c r="B587" s="174"/>
      <c r="C587" s="174" t="str">
        <f>TEXT(data[[#This Row],[Fecha de Envío
Cotización]],"MMMM")</f>
        <v>marzo</v>
      </c>
      <c r="D587" s="174">
        <v>44277</v>
      </c>
      <c r="E587" s="130" t="str">
        <f>IF(data[[#This Row],[Estatus de 
Cotización]]="PERDIDO","N/A","")</f>
        <v>N/A</v>
      </c>
      <c r="F587" s="174"/>
      <c r="G587" s="109"/>
      <c r="H587" s="174"/>
      <c r="I587" s="86">
        <v>511640</v>
      </c>
      <c r="J587" s="87">
        <v>20165</v>
      </c>
      <c r="K587" s="24" t="s">
        <v>90</v>
      </c>
      <c r="L587" s="106"/>
      <c r="M587" s="108" t="s">
        <v>697</v>
      </c>
      <c r="N587" s="106">
        <v>10</v>
      </c>
      <c r="O587" s="107"/>
      <c r="P587" s="27">
        <v>83.31</v>
      </c>
      <c r="Q587" s="28">
        <f>data[[#This Row],[Costo Producto
Proveedor ($/Unid)]]*data[[#This Row],[Cantidad]]</f>
        <v>0</v>
      </c>
      <c r="R587" s="28">
        <f>data[[#This Row],[Cantidad]]*data[[#This Row],[Precio de Venta Cliente ($/Unid)]]</f>
        <v>833.1</v>
      </c>
      <c r="S587" s="29"/>
      <c r="T587" s="31" t="s">
        <v>16</v>
      </c>
      <c r="U587" s="106"/>
      <c r="V587" s="30" t="s">
        <v>42</v>
      </c>
      <c r="W587" s="30" t="s">
        <v>42</v>
      </c>
      <c r="X587" s="106" t="s">
        <v>23</v>
      </c>
      <c r="Y587" s="106" t="s">
        <v>23</v>
      </c>
      <c r="Z587" s="106" t="s">
        <v>50</v>
      </c>
      <c r="AA587" s="106"/>
    </row>
    <row r="588" spans="2:27" x14ac:dyDescent="0.25">
      <c r="B588" s="174"/>
      <c r="C588" s="174" t="str">
        <f>TEXT(data[[#This Row],[Fecha de Envío
Cotización]],"MMMM")</f>
        <v>marzo</v>
      </c>
      <c r="D588" s="174">
        <v>44277</v>
      </c>
      <c r="E588" s="130" t="str">
        <f>IF(data[[#This Row],[Estatus de 
Cotización]]="PERDIDO","N/A","")</f>
        <v>N/A</v>
      </c>
      <c r="F588" s="174"/>
      <c r="G588" s="109"/>
      <c r="H588" s="174"/>
      <c r="I588" s="86">
        <v>511641</v>
      </c>
      <c r="J588" s="87">
        <v>20169</v>
      </c>
      <c r="K588" s="24" t="s">
        <v>90</v>
      </c>
      <c r="L588" s="106"/>
      <c r="M588" s="108" t="s">
        <v>698</v>
      </c>
      <c r="N588" s="106">
        <v>2</v>
      </c>
      <c r="O588" s="107"/>
      <c r="P588" s="27">
        <v>1174.0999999999999</v>
      </c>
      <c r="Q588" s="28">
        <f>data[[#This Row],[Costo Producto
Proveedor ($/Unid)]]*data[[#This Row],[Cantidad]]</f>
        <v>0</v>
      </c>
      <c r="R588" s="28">
        <f>data[[#This Row],[Cantidad]]*data[[#This Row],[Precio de Venta Cliente ($/Unid)]]</f>
        <v>2348.1999999999998</v>
      </c>
      <c r="S588" s="29"/>
      <c r="T588" s="106" t="s">
        <v>36</v>
      </c>
      <c r="U588" s="106"/>
      <c r="V588" s="30" t="s">
        <v>42</v>
      </c>
      <c r="W588" s="30" t="s">
        <v>42</v>
      </c>
      <c r="X588" s="106" t="s">
        <v>23</v>
      </c>
      <c r="Y588" s="106" t="s">
        <v>23</v>
      </c>
      <c r="Z588" s="106" t="s">
        <v>50</v>
      </c>
      <c r="AA588" s="106"/>
    </row>
    <row r="589" spans="2:27" x14ac:dyDescent="0.25">
      <c r="B589" s="174"/>
      <c r="C589" s="174" t="str">
        <f>TEXT(data[[#This Row],[Fecha de Envío
Cotización]],"MMMM")</f>
        <v>marzo</v>
      </c>
      <c r="D589" s="174">
        <v>44277</v>
      </c>
      <c r="E589" s="130" t="str">
        <f>IF(data[[#This Row],[Estatus de 
Cotización]]="PERDIDO","N/A","")</f>
        <v>N/A</v>
      </c>
      <c r="F589" s="174"/>
      <c r="G589" s="109"/>
      <c r="H589" s="174"/>
      <c r="I589" s="86">
        <v>511642</v>
      </c>
      <c r="J589" s="87">
        <v>20169</v>
      </c>
      <c r="K589" s="24" t="s">
        <v>90</v>
      </c>
      <c r="L589" s="106"/>
      <c r="M589" s="108" t="s">
        <v>699</v>
      </c>
      <c r="N589" s="106">
        <v>3</v>
      </c>
      <c r="O589" s="107"/>
      <c r="P589" s="27">
        <v>54.25</v>
      </c>
      <c r="Q589" s="28">
        <f>data[[#This Row],[Costo Producto
Proveedor ($/Unid)]]*data[[#This Row],[Cantidad]]</f>
        <v>0</v>
      </c>
      <c r="R589" s="28">
        <f>data[[#This Row],[Cantidad]]*data[[#This Row],[Precio de Venta Cliente ($/Unid)]]</f>
        <v>162.75</v>
      </c>
      <c r="S589" s="29"/>
      <c r="T589" s="106" t="s">
        <v>36</v>
      </c>
      <c r="U589" s="106"/>
      <c r="V589" s="30" t="s">
        <v>42</v>
      </c>
      <c r="W589" s="30" t="s">
        <v>42</v>
      </c>
      <c r="X589" s="106" t="s">
        <v>23</v>
      </c>
      <c r="Y589" s="106" t="s">
        <v>23</v>
      </c>
      <c r="Z589" s="106" t="s">
        <v>50</v>
      </c>
      <c r="AA589" s="106"/>
    </row>
    <row r="590" spans="2:27" x14ac:dyDescent="0.25">
      <c r="B590" s="174"/>
      <c r="C590" s="174" t="str">
        <f>TEXT(data[[#This Row],[Fecha de Envío
Cotización]],"MMMM")</f>
        <v>marzo</v>
      </c>
      <c r="D590" s="174">
        <v>44277</v>
      </c>
      <c r="E590" s="130" t="str">
        <f>IF(data[[#This Row],[Estatus de 
Cotización]]="PERDIDO","N/A","")</f>
        <v>N/A</v>
      </c>
      <c r="F590" s="174"/>
      <c r="G590" s="109"/>
      <c r="H590" s="174"/>
      <c r="I590" s="86">
        <v>511643</v>
      </c>
      <c r="J590" s="87">
        <v>20169</v>
      </c>
      <c r="K590" s="24" t="s">
        <v>90</v>
      </c>
      <c r="L590" s="106"/>
      <c r="M590" s="108" t="s">
        <v>700</v>
      </c>
      <c r="N590" s="106">
        <v>2</v>
      </c>
      <c r="O590" s="107"/>
      <c r="P590" s="27">
        <v>615.1</v>
      </c>
      <c r="Q590" s="28">
        <f>data[[#This Row],[Costo Producto
Proveedor ($/Unid)]]*data[[#This Row],[Cantidad]]</f>
        <v>0</v>
      </c>
      <c r="R590" s="28">
        <f>data[[#This Row],[Cantidad]]*data[[#This Row],[Precio de Venta Cliente ($/Unid)]]</f>
        <v>1230.2</v>
      </c>
      <c r="S590" s="29"/>
      <c r="T590" s="106" t="s">
        <v>36</v>
      </c>
      <c r="U590" s="106"/>
      <c r="V590" s="30" t="s">
        <v>42</v>
      </c>
      <c r="W590" s="30" t="s">
        <v>42</v>
      </c>
      <c r="X590" s="106" t="s">
        <v>23</v>
      </c>
      <c r="Y590" s="106" t="s">
        <v>23</v>
      </c>
      <c r="Z590" s="106" t="s">
        <v>50</v>
      </c>
      <c r="AA590" s="106"/>
    </row>
    <row r="591" spans="2:27" x14ac:dyDescent="0.25">
      <c r="B591" s="174"/>
      <c r="C591" s="174" t="str">
        <f>TEXT(data[[#This Row],[Fecha de Envío
Cotización]],"MMMM")</f>
        <v>marzo</v>
      </c>
      <c r="D591" s="174">
        <v>44277</v>
      </c>
      <c r="E591" s="130" t="str">
        <f>IF(data[[#This Row],[Estatus de 
Cotización]]="PERDIDO","N/A","")</f>
        <v>N/A</v>
      </c>
      <c r="F591" s="174"/>
      <c r="G591" s="109"/>
      <c r="H591" s="174"/>
      <c r="I591" s="86">
        <v>511644</v>
      </c>
      <c r="J591" s="87">
        <v>20168</v>
      </c>
      <c r="K591" s="24" t="s">
        <v>109</v>
      </c>
      <c r="L591" s="106"/>
      <c r="M591" s="108" t="s">
        <v>701</v>
      </c>
      <c r="N591" s="106">
        <v>6</v>
      </c>
      <c r="O591" s="107"/>
      <c r="P591" s="27">
        <v>269.47000000000003</v>
      </c>
      <c r="Q591" s="28">
        <f>data[[#This Row],[Costo Producto
Proveedor ($/Unid)]]*data[[#This Row],[Cantidad]]</f>
        <v>0</v>
      </c>
      <c r="R591" s="28">
        <f>data[[#This Row],[Cantidad]]*data[[#This Row],[Precio de Venta Cliente ($/Unid)]]</f>
        <v>1616.8200000000002</v>
      </c>
      <c r="S591" s="29"/>
      <c r="T591" s="106" t="s">
        <v>36</v>
      </c>
      <c r="U591" s="106"/>
      <c r="V591" s="30" t="s">
        <v>42</v>
      </c>
      <c r="W591" s="32" t="s">
        <v>42</v>
      </c>
      <c r="X591" s="106" t="s">
        <v>23</v>
      </c>
      <c r="Y591" s="106" t="s">
        <v>23</v>
      </c>
      <c r="Z591" s="106" t="s">
        <v>50</v>
      </c>
      <c r="AA591" s="106"/>
    </row>
    <row r="592" spans="2:27" x14ac:dyDescent="0.25">
      <c r="B592" s="174"/>
      <c r="C592" s="174" t="str">
        <f>TEXT(data[[#This Row],[Fecha de Envío
Cotización]],"MMMM")</f>
        <v>marzo</v>
      </c>
      <c r="D592" s="174">
        <v>44279</v>
      </c>
      <c r="E592" s="174">
        <v>44292</v>
      </c>
      <c r="F592" s="174">
        <v>44330</v>
      </c>
      <c r="G592" s="109">
        <v>4500478742</v>
      </c>
      <c r="H592" s="174"/>
      <c r="I592" s="86">
        <v>511680</v>
      </c>
      <c r="J592" s="87">
        <v>20170</v>
      </c>
      <c r="K592" s="24" t="s">
        <v>90</v>
      </c>
      <c r="L592" s="106"/>
      <c r="M592" s="108" t="s">
        <v>703</v>
      </c>
      <c r="N592" s="106">
        <v>4</v>
      </c>
      <c r="O592" s="107"/>
      <c r="P592" s="27">
        <v>64.56</v>
      </c>
      <c r="Q592" s="28">
        <f>data[[#This Row],[Costo Producto
Proveedor ($/Unid)]]*data[[#This Row],[Cantidad]]</f>
        <v>0</v>
      </c>
      <c r="R592" s="121">
        <f>data[[#This Row],[Cantidad]]*data[[#This Row],[Precio de Venta Cliente ($/Unid)]]</f>
        <v>258.24</v>
      </c>
      <c r="S592" s="29"/>
      <c r="T592" s="106" t="s">
        <v>36</v>
      </c>
      <c r="U592" s="106"/>
      <c r="V592" s="30" t="s">
        <v>44</v>
      </c>
      <c r="W592" s="30" t="s">
        <v>46</v>
      </c>
      <c r="X592" s="106" t="s">
        <v>45</v>
      </c>
      <c r="Y592" s="106" t="s">
        <v>503</v>
      </c>
      <c r="Z592" s="106" t="s">
        <v>50</v>
      </c>
      <c r="AA592" s="106"/>
    </row>
    <row r="593" spans="2:27" x14ac:dyDescent="0.25">
      <c r="B593" s="174"/>
      <c r="C593" s="174" t="str">
        <f>TEXT(data[[#This Row],[Fecha de Envío
Cotización]],"MMMM")</f>
        <v>marzo</v>
      </c>
      <c r="D593" s="174">
        <v>44279</v>
      </c>
      <c r="E593" s="174">
        <v>44292</v>
      </c>
      <c r="F593" s="174">
        <v>44330</v>
      </c>
      <c r="G593" s="109">
        <v>4500478742</v>
      </c>
      <c r="H593" s="174"/>
      <c r="I593" s="86">
        <v>511681</v>
      </c>
      <c r="J593" s="87">
        <v>20170</v>
      </c>
      <c r="K593" s="24" t="s">
        <v>90</v>
      </c>
      <c r="L593" s="106"/>
      <c r="M593" s="108" t="s">
        <v>704</v>
      </c>
      <c r="N593" s="106">
        <v>4</v>
      </c>
      <c r="O593" s="107"/>
      <c r="P593" s="27">
        <v>82.84</v>
      </c>
      <c r="Q593" s="28">
        <f>data[[#This Row],[Costo Producto
Proveedor ($/Unid)]]*data[[#This Row],[Cantidad]]</f>
        <v>0</v>
      </c>
      <c r="R593" s="121">
        <f>data[[#This Row],[Cantidad]]*data[[#This Row],[Precio de Venta Cliente ($/Unid)]]</f>
        <v>331.36</v>
      </c>
      <c r="S593" s="29"/>
      <c r="T593" s="106" t="s">
        <v>36</v>
      </c>
      <c r="U593" s="106"/>
      <c r="V593" s="30" t="s">
        <v>44</v>
      </c>
      <c r="W593" s="30" t="s">
        <v>46</v>
      </c>
      <c r="X593" s="106" t="s">
        <v>45</v>
      </c>
      <c r="Y593" s="106" t="s">
        <v>503</v>
      </c>
      <c r="Z593" s="106" t="s">
        <v>50</v>
      </c>
      <c r="AA593" s="106"/>
    </row>
    <row r="594" spans="2:27" x14ac:dyDescent="0.25">
      <c r="B594" s="174"/>
      <c r="C594" s="174" t="str">
        <f>TEXT(data[[#This Row],[Fecha de Envío
Cotización]],"MMMM")</f>
        <v>marzo</v>
      </c>
      <c r="D594" s="174">
        <v>44279</v>
      </c>
      <c r="E594" s="174" t="str">
        <f>IF(data[[#This Row],[Estatus de 
Cotización]]="PERDIDO","N/A","")</f>
        <v>N/A</v>
      </c>
      <c r="F594" s="174"/>
      <c r="G594" s="109"/>
      <c r="H594" s="174"/>
      <c r="I594" s="86">
        <v>511682</v>
      </c>
      <c r="J594" s="87">
        <v>20170</v>
      </c>
      <c r="K594" s="24" t="s">
        <v>90</v>
      </c>
      <c r="L594" s="106"/>
      <c r="M594" s="108" t="s">
        <v>705</v>
      </c>
      <c r="N594" s="106">
        <v>8</v>
      </c>
      <c r="O594" s="107"/>
      <c r="P594" s="27">
        <v>95.44</v>
      </c>
      <c r="Q594" s="28">
        <f>data[[#This Row],[Costo Producto
Proveedor ($/Unid)]]*data[[#This Row],[Cantidad]]</f>
        <v>0</v>
      </c>
      <c r="R594" s="117">
        <f>data[[#This Row],[Cantidad]]*data[[#This Row],[Precio de Venta Cliente ($/Unid)]]</f>
        <v>763.52</v>
      </c>
      <c r="S594" s="29"/>
      <c r="T594" s="106" t="s">
        <v>36</v>
      </c>
      <c r="U594" s="106"/>
      <c r="V594" s="30" t="s">
        <v>42</v>
      </c>
      <c r="W594" s="30" t="s">
        <v>42</v>
      </c>
      <c r="X594" s="106" t="s">
        <v>23</v>
      </c>
      <c r="Y594" s="106" t="s">
        <v>23</v>
      </c>
      <c r="Z594" s="106" t="s">
        <v>50</v>
      </c>
      <c r="AA594" s="106"/>
    </row>
    <row r="595" spans="2:27" x14ac:dyDescent="0.25">
      <c r="B595" s="23"/>
      <c r="C595" s="174" t="str">
        <f>TEXT(data[[#This Row],[Fecha de Envío
Cotización]],"MMMM")</f>
        <v>marzo</v>
      </c>
      <c r="D595" s="174">
        <v>44279</v>
      </c>
      <c r="E595" s="23" t="str">
        <f>IF(data[[#This Row],[Estatus de 
Cotización]]="PERDIDO","N/A","")</f>
        <v>N/A</v>
      </c>
      <c r="F595" s="23"/>
      <c r="G595" s="109"/>
      <c r="H595" s="23"/>
      <c r="I595" s="86">
        <v>511683</v>
      </c>
      <c r="J595" s="87">
        <v>20170</v>
      </c>
      <c r="K595" s="24" t="s">
        <v>90</v>
      </c>
      <c r="L595" s="22"/>
      <c r="M595" s="108" t="s">
        <v>706</v>
      </c>
      <c r="N595" s="22">
        <v>3</v>
      </c>
      <c r="O595" s="26"/>
      <c r="P595" s="27">
        <v>300.51</v>
      </c>
      <c r="Q595" s="28">
        <f>data[[#This Row],[Costo Producto
Proveedor ($/Unid)]]*data[[#This Row],[Cantidad]]</f>
        <v>0</v>
      </c>
      <c r="R595" s="117">
        <f>data[[#This Row],[Cantidad]]*data[[#This Row],[Precio de Venta Cliente ($/Unid)]]</f>
        <v>901.53</v>
      </c>
      <c r="S595" s="29"/>
      <c r="T595" s="106" t="s">
        <v>36</v>
      </c>
      <c r="U595" s="106"/>
      <c r="V595" s="30" t="s">
        <v>42</v>
      </c>
      <c r="W595" s="30" t="s">
        <v>42</v>
      </c>
      <c r="X595" s="22" t="s">
        <v>23</v>
      </c>
      <c r="Y595" s="22" t="s">
        <v>23</v>
      </c>
      <c r="Z595" s="22" t="s">
        <v>50</v>
      </c>
      <c r="AA595" s="106"/>
    </row>
    <row r="596" spans="2:27" x14ac:dyDescent="0.25">
      <c r="B596" s="174"/>
      <c r="C596" s="174" t="str">
        <f>TEXT(data[[#This Row],[Fecha de Envío
Cotización]],"MMMM")</f>
        <v>marzo</v>
      </c>
      <c r="D596" s="174">
        <v>44279</v>
      </c>
      <c r="E596" s="174" t="str">
        <f>IF(data[[#This Row],[Estatus de 
Cotización]]="PERDIDO","N/A","")</f>
        <v>N/A</v>
      </c>
      <c r="F596" s="174"/>
      <c r="G596" s="109"/>
      <c r="H596" s="174"/>
      <c r="I596" s="86">
        <v>511684</v>
      </c>
      <c r="J596" s="87">
        <v>20170</v>
      </c>
      <c r="K596" s="24" t="s">
        <v>90</v>
      </c>
      <c r="L596" s="106"/>
      <c r="M596" s="108" t="s">
        <v>707</v>
      </c>
      <c r="N596" s="106">
        <v>3</v>
      </c>
      <c r="O596" s="107"/>
      <c r="P596" s="27">
        <v>443.3</v>
      </c>
      <c r="Q596" s="28">
        <f>data[[#This Row],[Costo Producto
Proveedor ($/Unid)]]*data[[#This Row],[Cantidad]]</f>
        <v>0</v>
      </c>
      <c r="R596" s="117">
        <f>data[[#This Row],[Cantidad]]*data[[#This Row],[Precio de Venta Cliente ($/Unid)]]</f>
        <v>1329.9</v>
      </c>
      <c r="S596" s="29"/>
      <c r="T596" s="106" t="s">
        <v>36</v>
      </c>
      <c r="U596" s="106"/>
      <c r="V596" s="30" t="s">
        <v>42</v>
      </c>
      <c r="W596" s="30" t="s">
        <v>42</v>
      </c>
      <c r="X596" s="106" t="s">
        <v>23</v>
      </c>
      <c r="Y596" s="106" t="s">
        <v>23</v>
      </c>
      <c r="Z596" s="106" t="s">
        <v>50</v>
      </c>
      <c r="AA596" s="106"/>
    </row>
    <row r="597" spans="2:27" x14ac:dyDescent="0.25">
      <c r="B597" s="174"/>
      <c r="C597" s="174" t="str">
        <f>TEXT(data[[#This Row],[Fecha de Envío
Cotización]],"MMMM")</f>
        <v>marzo</v>
      </c>
      <c r="D597" s="174">
        <v>44280</v>
      </c>
      <c r="E597" s="174" t="str">
        <f>IF(data[[#This Row],[Estatus de 
Cotización]]="PERDIDO","N/A","")</f>
        <v>N/A</v>
      </c>
      <c r="F597" s="174"/>
      <c r="G597" s="109"/>
      <c r="H597" s="174"/>
      <c r="I597" s="86">
        <v>511711</v>
      </c>
      <c r="J597" s="87">
        <v>20203</v>
      </c>
      <c r="K597" s="24" t="s">
        <v>33</v>
      </c>
      <c r="L597" s="106"/>
      <c r="M597" s="108" t="s">
        <v>708</v>
      </c>
      <c r="N597" s="106">
        <v>1</v>
      </c>
      <c r="O597" s="107"/>
      <c r="P597" s="27">
        <v>1670.74</v>
      </c>
      <c r="Q597" s="28">
        <f>data[[#This Row],[Costo Producto
Proveedor ($/Unid)]]*data[[#This Row],[Cantidad]]</f>
        <v>0</v>
      </c>
      <c r="R597" s="119">
        <f>data[[#This Row],[Cantidad]]*data[[#This Row],[Precio de Venta Cliente ($/Unid)]]</f>
        <v>1670.74</v>
      </c>
      <c r="S597" s="29"/>
      <c r="T597" s="106" t="s">
        <v>16</v>
      </c>
      <c r="U597" s="106"/>
      <c r="V597" s="30" t="s">
        <v>42</v>
      </c>
      <c r="W597" s="32" t="s">
        <v>42</v>
      </c>
      <c r="X597" s="106" t="s">
        <v>23</v>
      </c>
      <c r="Y597" s="106" t="s">
        <v>23</v>
      </c>
      <c r="Z597" s="106" t="s">
        <v>50</v>
      </c>
      <c r="AA597" s="106"/>
    </row>
    <row r="598" spans="2:27" x14ac:dyDescent="0.25">
      <c r="B598" s="174"/>
      <c r="C598" s="174" t="str">
        <f>TEXT(data[[#This Row],[Fecha de Envío
Cotización]],"MMMM")</f>
        <v>marzo</v>
      </c>
      <c r="D598" s="174">
        <v>44280</v>
      </c>
      <c r="E598" s="174" t="str">
        <f>IF(data[[#This Row],[Estatus de 
Cotización]]="PERDIDO","N/A","")</f>
        <v>N/A</v>
      </c>
      <c r="F598" s="174"/>
      <c r="G598" s="109"/>
      <c r="H598" s="174"/>
      <c r="I598" s="86">
        <v>511712</v>
      </c>
      <c r="J598" s="87">
        <v>20203</v>
      </c>
      <c r="K598" s="24" t="s">
        <v>102</v>
      </c>
      <c r="L598" s="106"/>
      <c r="M598" s="108" t="s">
        <v>709</v>
      </c>
      <c r="N598" s="106">
        <v>4</v>
      </c>
      <c r="O598" s="107"/>
      <c r="P598" s="27">
        <v>38.92</v>
      </c>
      <c r="Q598" s="28">
        <f>data[[#This Row],[Costo Producto
Proveedor ($/Unid)]]*data[[#This Row],[Cantidad]]</f>
        <v>0</v>
      </c>
      <c r="R598" s="119">
        <f>data[[#This Row],[Cantidad]]*data[[#This Row],[Precio de Venta Cliente ($/Unid)]]</f>
        <v>155.68</v>
      </c>
      <c r="S598" s="29"/>
      <c r="T598" s="106" t="s">
        <v>16</v>
      </c>
      <c r="U598" s="106"/>
      <c r="V598" s="30" t="s">
        <v>42</v>
      </c>
      <c r="W598" s="32" t="s">
        <v>42</v>
      </c>
      <c r="X598" s="106" t="s">
        <v>23</v>
      </c>
      <c r="Y598" s="106" t="s">
        <v>23</v>
      </c>
      <c r="Z598" s="106" t="s">
        <v>50</v>
      </c>
      <c r="AA598" s="106" t="s">
        <v>43</v>
      </c>
    </row>
    <row r="599" spans="2:27" s="105" customFormat="1" x14ac:dyDescent="0.25">
      <c r="B599" s="174"/>
      <c r="C599" s="174" t="str">
        <f>TEXT(data[[#This Row],[Fecha de Envío
Cotización]],"MMMM")</f>
        <v>marzo</v>
      </c>
      <c r="D599" s="174">
        <v>44280</v>
      </c>
      <c r="E599" s="174" t="str">
        <f>IF(data[[#This Row],[Estatus de 
Cotización]]="PERDIDO","N/A","")</f>
        <v>N/A</v>
      </c>
      <c r="F599" s="174"/>
      <c r="G599" s="109"/>
      <c r="H599" s="174"/>
      <c r="I599" s="86">
        <v>511713</v>
      </c>
      <c r="J599" s="87">
        <v>20203</v>
      </c>
      <c r="K599" s="24" t="s">
        <v>102</v>
      </c>
      <c r="L599" s="106"/>
      <c r="M599" s="108" t="s">
        <v>710</v>
      </c>
      <c r="N599" s="106">
        <v>4</v>
      </c>
      <c r="O599" s="107"/>
      <c r="P599" s="27">
        <v>33.75</v>
      </c>
      <c r="Q599" s="28">
        <f>data[[#This Row],[Costo Producto
Proveedor ($/Unid)]]*data[[#This Row],[Cantidad]]</f>
        <v>0</v>
      </c>
      <c r="R599" s="119">
        <f>data[[#This Row],[Cantidad]]*data[[#This Row],[Precio de Venta Cliente ($/Unid)]]</f>
        <v>135</v>
      </c>
      <c r="S599" s="29"/>
      <c r="T599" s="106" t="s">
        <v>16</v>
      </c>
      <c r="U599" s="106"/>
      <c r="V599" s="30" t="s">
        <v>42</v>
      </c>
      <c r="W599" s="32" t="s">
        <v>42</v>
      </c>
      <c r="X599" s="106" t="s">
        <v>23</v>
      </c>
      <c r="Y599" s="106" t="s">
        <v>23</v>
      </c>
      <c r="Z599" s="106" t="s">
        <v>50</v>
      </c>
      <c r="AA599" s="106" t="s">
        <v>43</v>
      </c>
    </row>
    <row r="600" spans="2:27" x14ac:dyDescent="0.25">
      <c r="B600" s="23"/>
      <c r="C600" s="174" t="str">
        <f>TEXT(data[[#This Row],[Fecha de Envío
Cotización]],"MMMM")</f>
        <v>marzo</v>
      </c>
      <c r="D600" s="174">
        <v>44280</v>
      </c>
      <c r="E600" s="174" t="str">
        <f>IF(data[[#This Row],[Estatus de 
Cotización]]="PERDIDO","N/A","")</f>
        <v>N/A</v>
      </c>
      <c r="F600" s="23"/>
      <c r="G600" s="109"/>
      <c r="H600" s="23"/>
      <c r="I600" s="86">
        <v>511714</v>
      </c>
      <c r="J600" s="87">
        <v>20202</v>
      </c>
      <c r="K600" s="24" t="s">
        <v>102</v>
      </c>
      <c r="L600" s="22"/>
      <c r="M600" s="108" t="s">
        <v>711</v>
      </c>
      <c r="N600" s="22">
        <v>1</v>
      </c>
      <c r="O600" s="26"/>
      <c r="P600" s="27">
        <v>490.43</v>
      </c>
      <c r="Q600" s="28">
        <f>data[[#This Row],[Costo Producto
Proveedor ($/Unid)]]*data[[#This Row],[Cantidad]]</f>
        <v>0</v>
      </c>
      <c r="R600" s="119">
        <f>data[[#This Row],[Cantidad]]*data[[#This Row],[Precio de Venta Cliente ($/Unid)]]</f>
        <v>490.43</v>
      </c>
      <c r="S600" s="29"/>
      <c r="T600" s="106" t="s">
        <v>22</v>
      </c>
      <c r="U600" s="106"/>
      <c r="V600" s="30" t="s">
        <v>42</v>
      </c>
      <c r="W600" s="32" t="s">
        <v>42</v>
      </c>
      <c r="X600" s="22" t="s">
        <v>23</v>
      </c>
      <c r="Y600" s="22" t="s">
        <v>23</v>
      </c>
      <c r="Z600" s="22" t="s">
        <v>50</v>
      </c>
      <c r="AA600" s="106" t="s">
        <v>43</v>
      </c>
    </row>
    <row r="601" spans="2:27" x14ac:dyDescent="0.25">
      <c r="B601" s="23"/>
      <c r="C601" s="174" t="str">
        <f>TEXT(data[[#This Row],[Fecha de Envío
Cotización]],"MMMM")</f>
        <v>marzo</v>
      </c>
      <c r="D601" s="174">
        <v>44281</v>
      </c>
      <c r="E601" s="174" t="str">
        <f>IF(data[[#This Row],[Estatus de 
Cotización]]="PERDIDO","N/A","")</f>
        <v>N/A</v>
      </c>
      <c r="F601" s="23"/>
      <c r="G601" s="109"/>
      <c r="H601" s="23"/>
      <c r="I601" s="86">
        <v>511742</v>
      </c>
      <c r="J601" s="87">
        <v>20225</v>
      </c>
      <c r="K601" s="24" t="s">
        <v>33</v>
      </c>
      <c r="L601" s="22"/>
      <c r="M601" s="108" t="s">
        <v>712</v>
      </c>
      <c r="N601" s="22">
        <v>6</v>
      </c>
      <c r="O601" s="26"/>
      <c r="P601" s="27">
        <v>79.75</v>
      </c>
      <c r="Q601" s="28">
        <f>data[[#This Row],[Costo Producto
Proveedor ($/Unid)]]*data[[#This Row],[Cantidad]]</f>
        <v>0</v>
      </c>
      <c r="R601" s="119">
        <f>data[[#This Row],[Cantidad]]*data[[#This Row],[Precio de Venta Cliente ($/Unid)]]</f>
        <v>478.5</v>
      </c>
      <c r="S601" s="29"/>
      <c r="T601" s="106" t="s">
        <v>22</v>
      </c>
      <c r="U601" s="106"/>
      <c r="V601" s="30" t="s">
        <v>42</v>
      </c>
      <c r="W601" s="32" t="s">
        <v>42</v>
      </c>
      <c r="X601" s="22" t="s">
        <v>23</v>
      </c>
      <c r="Y601" s="22" t="s">
        <v>23</v>
      </c>
      <c r="Z601" s="22" t="s">
        <v>50</v>
      </c>
      <c r="AA601" s="106"/>
    </row>
    <row r="602" spans="2:27" x14ac:dyDescent="0.25">
      <c r="B602" s="174"/>
      <c r="C602" s="174" t="str">
        <f>TEXT(data[[#This Row],[Fecha de Envío
Cotización]],"MMMM")</f>
        <v>marzo</v>
      </c>
      <c r="D602" s="174">
        <v>44284</v>
      </c>
      <c r="E602" s="174" t="str">
        <f>IF(data[[#This Row],[Estatus de 
Cotización]]="PERDIDO","N/A","")</f>
        <v>N/A</v>
      </c>
      <c r="F602" s="174"/>
      <c r="G602" s="109"/>
      <c r="H602" s="174"/>
      <c r="I602" s="86">
        <v>511746</v>
      </c>
      <c r="J602" s="87">
        <v>20230</v>
      </c>
      <c r="K602" s="24" t="s">
        <v>33</v>
      </c>
      <c r="L602" s="106"/>
      <c r="M602" s="33" t="s">
        <v>713</v>
      </c>
      <c r="N602" s="106">
        <v>1</v>
      </c>
      <c r="O602" s="107"/>
      <c r="P602" s="27">
        <v>941.4</v>
      </c>
      <c r="Q602" s="28">
        <f>data[[#This Row],[Costo Producto
Proveedor ($/Unid)]]*data[[#This Row],[Cantidad]]</f>
        <v>0</v>
      </c>
      <c r="R602" s="119">
        <f>data[[#This Row],[Cantidad]]*data[[#This Row],[Precio de Venta Cliente ($/Unid)]]</f>
        <v>941.4</v>
      </c>
      <c r="S602" s="29"/>
      <c r="T602" s="106" t="s">
        <v>36</v>
      </c>
      <c r="U602" s="106"/>
      <c r="V602" s="30" t="s">
        <v>42</v>
      </c>
      <c r="W602" s="32" t="s">
        <v>42</v>
      </c>
      <c r="X602" s="106" t="s">
        <v>23</v>
      </c>
      <c r="Y602" s="106" t="s">
        <v>23</v>
      </c>
      <c r="Z602" s="106" t="s">
        <v>50</v>
      </c>
      <c r="AA602" s="106"/>
    </row>
    <row r="603" spans="2:27" x14ac:dyDescent="0.25">
      <c r="B603" s="174"/>
      <c r="C603" s="174" t="str">
        <f>TEXT(data[[#This Row],[Fecha de Envío
Cotización]],"MMMM")</f>
        <v>marzo</v>
      </c>
      <c r="D603" s="174">
        <v>44284</v>
      </c>
      <c r="E603" s="130" t="str">
        <f>IF(data[[#This Row],[Estatus de 
Cotización]]="PERDIDO","N/A","")</f>
        <v>N/A</v>
      </c>
      <c r="F603" s="174"/>
      <c r="G603" s="109"/>
      <c r="H603" s="174"/>
      <c r="I603" s="86">
        <v>511747</v>
      </c>
      <c r="J603" s="87">
        <v>20231</v>
      </c>
      <c r="K603" s="24" t="s">
        <v>90</v>
      </c>
      <c r="L603" s="106"/>
      <c r="M603" s="108" t="s">
        <v>714</v>
      </c>
      <c r="N603" s="106">
        <v>3</v>
      </c>
      <c r="O603" s="107"/>
      <c r="P603" s="27">
        <v>878.33</v>
      </c>
      <c r="Q603" s="28">
        <f>data[[#This Row],[Costo Producto
Proveedor ($/Unid)]]*data[[#This Row],[Cantidad]]</f>
        <v>0</v>
      </c>
      <c r="R603" s="28">
        <f>data[[#This Row],[Cantidad]]*data[[#This Row],[Precio de Venta Cliente ($/Unid)]]</f>
        <v>2634.9900000000002</v>
      </c>
      <c r="S603" s="29"/>
      <c r="T603" s="106" t="s">
        <v>36</v>
      </c>
      <c r="U603" s="106"/>
      <c r="V603" s="30" t="s">
        <v>42</v>
      </c>
      <c r="W603" s="32" t="s">
        <v>42</v>
      </c>
      <c r="X603" s="106" t="s">
        <v>23</v>
      </c>
      <c r="Y603" s="106" t="s">
        <v>23</v>
      </c>
      <c r="Z603" s="106" t="s">
        <v>50</v>
      </c>
      <c r="AA603" s="106"/>
    </row>
    <row r="604" spans="2:27" x14ac:dyDescent="0.25">
      <c r="B604" s="174"/>
      <c r="C604" s="174" t="str">
        <f>TEXT(data[[#This Row],[Fecha de Envío
Cotización]],"MMMM")</f>
        <v>marzo</v>
      </c>
      <c r="D604" s="174">
        <v>44284</v>
      </c>
      <c r="E604" s="130" t="str">
        <f>IF(data[[#This Row],[Estatus de 
Cotización]]="PERDIDO","N/A","")</f>
        <v>N/A</v>
      </c>
      <c r="F604" s="174"/>
      <c r="G604" s="109"/>
      <c r="H604" s="174"/>
      <c r="I604" s="86">
        <v>511748</v>
      </c>
      <c r="J604" s="87">
        <v>20231</v>
      </c>
      <c r="K604" s="24" t="s">
        <v>90</v>
      </c>
      <c r="L604" s="106"/>
      <c r="M604" s="108" t="s">
        <v>715</v>
      </c>
      <c r="N604" s="106">
        <v>3</v>
      </c>
      <c r="O604" s="107"/>
      <c r="P604" s="27">
        <v>660</v>
      </c>
      <c r="Q604" s="28">
        <f>data[[#This Row],[Costo Producto
Proveedor ($/Unid)]]*data[[#This Row],[Cantidad]]</f>
        <v>0</v>
      </c>
      <c r="R604" s="28">
        <f>data[[#This Row],[Cantidad]]*data[[#This Row],[Precio de Venta Cliente ($/Unid)]]</f>
        <v>1980</v>
      </c>
      <c r="S604" s="29"/>
      <c r="T604" s="106" t="s">
        <v>36</v>
      </c>
      <c r="U604" s="106"/>
      <c r="V604" s="30" t="s">
        <v>42</v>
      </c>
      <c r="W604" s="32" t="s">
        <v>42</v>
      </c>
      <c r="X604" s="106" t="s">
        <v>23</v>
      </c>
      <c r="Y604" s="106" t="s">
        <v>23</v>
      </c>
      <c r="Z604" s="106" t="s">
        <v>50</v>
      </c>
      <c r="AA604" s="106"/>
    </row>
    <row r="605" spans="2:27" x14ac:dyDescent="0.25">
      <c r="B605" s="23"/>
      <c r="C605" s="174" t="str">
        <f>TEXT(data[[#This Row],[Fecha de Envío
Cotización]],"MMMM")</f>
        <v>abril</v>
      </c>
      <c r="D605" s="174">
        <v>44292</v>
      </c>
      <c r="E605" s="174" t="str">
        <f>IF(data[[#This Row],[Estatus de 
Cotización]]="PERDIDO","N/A","")</f>
        <v>N/A</v>
      </c>
      <c r="F605" s="23"/>
      <c r="G605" s="109"/>
      <c r="H605" s="23"/>
      <c r="I605" s="86">
        <v>511771</v>
      </c>
      <c r="J605" s="87">
        <v>20171</v>
      </c>
      <c r="K605" s="24" t="s">
        <v>33</v>
      </c>
      <c r="L605" s="22"/>
      <c r="M605" s="108" t="s">
        <v>716</v>
      </c>
      <c r="N605" s="22">
        <v>25</v>
      </c>
      <c r="O605" s="26"/>
      <c r="P605" s="27">
        <v>109.11</v>
      </c>
      <c r="Q605" s="28">
        <f>data[[#This Row],[Costo Producto
Proveedor ($/Unid)]]*data[[#This Row],[Cantidad]]</f>
        <v>0</v>
      </c>
      <c r="R605" s="28">
        <f>data[[#This Row],[Cantidad]]*data[[#This Row],[Precio de Venta Cliente ($/Unid)]]</f>
        <v>2727.75</v>
      </c>
      <c r="S605" s="29"/>
      <c r="T605" s="106" t="s">
        <v>104</v>
      </c>
      <c r="U605" s="106"/>
      <c r="V605" s="30" t="s">
        <v>42</v>
      </c>
      <c r="W605" s="32" t="s">
        <v>42</v>
      </c>
      <c r="X605" s="22" t="s">
        <v>23</v>
      </c>
      <c r="Y605" s="22" t="s">
        <v>23</v>
      </c>
      <c r="Z605" s="22" t="s">
        <v>50</v>
      </c>
      <c r="AA605" s="106"/>
    </row>
    <row r="606" spans="2:27" x14ac:dyDescent="0.25">
      <c r="B606" s="23"/>
      <c r="C606" s="174" t="str">
        <f>TEXT(data[[#This Row],[Fecha de Envío
Cotización]],"MMMM")</f>
        <v>abril</v>
      </c>
      <c r="D606" s="174">
        <v>44292</v>
      </c>
      <c r="E606" s="174" t="str">
        <f>IF(data[[#This Row],[Estatus de 
Cotización]]="PERDIDO","N/A","")</f>
        <v>N/A</v>
      </c>
      <c r="F606" s="23"/>
      <c r="G606" s="109"/>
      <c r="H606" s="23"/>
      <c r="I606" s="86">
        <v>511772</v>
      </c>
      <c r="J606" s="87">
        <v>20172</v>
      </c>
      <c r="K606" s="24" t="s">
        <v>717</v>
      </c>
      <c r="L606" s="22"/>
      <c r="M606" s="108" t="s">
        <v>718</v>
      </c>
      <c r="N606" s="22">
        <v>2</v>
      </c>
      <c r="O606" s="26"/>
      <c r="P606" s="27">
        <v>64.69</v>
      </c>
      <c r="Q606" s="28">
        <f>data[[#This Row],[Costo Producto
Proveedor ($/Unid)]]*data[[#This Row],[Cantidad]]</f>
        <v>0</v>
      </c>
      <c r="R606" s="28">
        <f>data[[#This Row],[Cantidad]]*data[[#This Row],[Precio de Venta Cliente ($/Unid)]]</f>
        <v>129.38</v>
      </c>
      <c r="S606" s="29"/>
      <c r="T606" s="106" t="s">
        <v>16</v>
      </c>
      <c r="U606" s="106"/>
      <c r="V606" s="30" t="s">
        <v>42</v>
      </c>
      <c r="W606" s="32" t="s">
        <v>42</v>
      </c>
      <c r="X606" s="22" t="s">
        <v>23</v>
      </c>
      <c r="Y606" s="22" t="s">
        <v>23</v>
      </c>
      <c r="Z606" s="22" t="s">
        <v>50</v>
      </c>
      <c r="AA606" s="106"/>
    </row>
    <row r="607" spans="2:27" x14ac:dyDescent="0.25">
      <c r="B607" s="23"/>
      <c r="C607" s="174" t="str">
        <f>TEXT(data[[#This Row],[Fecha de Envío
Cotización]],"MMMM")</f>
        <v>abril</v>
      </c>
      <c r="D607" s="174">
        <v>44292</v>
      </c>
      <c r="E607" s="174" t="str">
        <f>IF(data[[#This Row],[Estatus de 
Cotización]]="PERDIDO","N/A","")</f>
        <v>N/A</v>
      </c>
      <c r="F607" s="23"/>
      <c r="G607" s="109"/>
      <c r="H607" s="23"/>
      <c r="I607" s="86">
        <v>511773</v>
      </c>
      <c r="J607" s="87">
        <v>20172</v>
      </c>
      <c r="K607" s="24" t="s">
        <v>717</v>
      </c>
      <c r="L607" s="22"/>
      <c r="M607" s="108" t="s">
        <v>719</v>
      </c>
      <c r="N607" s="22">
        <v>1</v>
      </c>
      <c r="O607" s="26"/>
      <c r="P607" s="27">
        <v>43.58</v>
      </c>
      <c r="Q607" s="28">
        <f>data[[#This Row],[Costo Producto
Proveedor ($/Unid)]]*data[[#This Row],[Cantidad]]</f>
        <v>0</v>
      </c>
      <c r="R607" s="28">
        <f>data[[#This Row],[Cantidad]]*data[[#This Row],[Precio de Venta Cliente ($/Unid)]]</f>
        <v>43.58</v>
      </c>
      <c r="S607" s="29"/>
      <c r="T607" s="106" t="s">
        <v>16</v>
      </c>
      <c r="U607" s="106"/>
      <c r="V607" s="30" t="s">
        <v>42</v>
      </c>
      <c r="W607" s="32" t="s">
        <v>42</v>
      </c>
      <c r="X607" s="22" t="s">
        <v>23</v>
      </c>
      <c r="Y607" s="22" t="s">
        <v>23</v>
      </c>
      <c r="Z607" s="22" t="s">
        <v>50</v>
      </c>
      <c r="AA607" s="106"/>
    </row>
    <row r="608" spans="2:27" x14ac:dyDescent="0.25">
      <c r="B608" s="23"/>
      <c r="C608" s="174" t="str">
        <f>TEXT(data[[#This Row],[Fecha de Envío
Cotización]],"MMMM")</f>
        <v>abril</v>
      </c>
      <c r="D608" s="174">
        <v>44292</v>
      </c>
      <c r="E608" s="174" t="str">
        <f>IF(data[[#This Row],[Estatus de 
Cotización]]="PERDIDO","N/A","")</f>
        <v>N/A</v>
      </c>
      <c r="F608" s="23"/>
      <c r="G608" s="109"/>
      <c r="H608" s="23"/>
      <c r="I608" s="86">
        <v>511774</v>
      </c>
      <c r="J608" s="87">
        <v>20172</v>
      </c>
      <c r="K608" s="24" t="s">
        <v>717</v>
      </c>
      <c r="L608" s="22"/>
      <c r="M608" s="108" t="s">
        <v>720</v>
      </c>
      <c r="N608" s="22">
        <v>1</v>
      </c>
      <c r="O608" s="26"/>
      <c r="P608" s="27">
        <v>278.5</v>
      </c>
      <c r="Q608" s="28">
        <f>data[[#This Row],[Costo Producto
Proveedor ($/Unid)]]*data[[#This Row],[Cantidad]]</f>
        <v>0</v>
      </c>
      <c r="R608" s="28">
        <f>data[[#This Row],[Cantidad]]*data[[#This Row],[Precio de Venta Cliente ($/Unid)]]</f>
        <v>278.5</v>
      </c>
      <c r="S608" s="29"/>
      <c r="T608" s="106" t="s">
        <v>16</v>
      </c>
      <c r="U608" s="106"/>
      <c r="V608" s="30" t="s">
        <v>42</v>
      </c>
      <c r="W608" s="32" t="s">
        <v>42</v>
      </c>
      <c r="X608" s="22" t="s">
        <v>23</v>
      </c>
      <c r="Y608" s="22" t="s">
        <v>23</v>
      </c>
      <c r="Z608" s="22" t="s">
        <v>50</v>
      </c>
      <c r="AA608" s="106"/>
    </row>
    <row r="609" spans="2:27" x14ac:dyDescent="0.25">
      <c r="B609" s="23"/>
      <c r="C609" s="174" t="str">
        <f>TEXT(data[[#This Row],[Fecha de Envío
Cotización]],"MMMM")</f>
        <v>abril</v>
      </c>
      <c r="D609" s="174">
        <v>44292</v>
      </c>
      <c r="E609" s="174" t="str">
        <f>IF(data[[#This Row],[Estatus de 
Cotización]]="PERDIDO","N/A","")</f>
        <v>N/A</v>
      </c>
      <c r="F609" s="23"/>
      <c r="G609" s="109"/>
      <c r="H609" s="23"/>
      <c r="I609" s="86">
        <v>511775</v>
      </c>
      <c r="J609" s="87">
        <v>20172</v>
      </c>
      <c r="K609" s="24" t="s">
        <v>717</v>
      </c>
      <c r="L609" s="22"/>
      <c r="M609" s="108" t="s">
        <v>721</v>
      </c>
      <c r="N609" s="22">
        <v>3</v>
      </c>
      <c r="O609" s="26"/>
      <c r="P609" s="27">
        <v>80.2</v>
      </c>
      <c r="Q609" s="28">
        <f>data[[#This Row],[Costo Producto
Proveedor ($/Unid)]]*data[[#This Row],[Cantidad]]</f>
        <v>0</v>
      </c>
      <c r="R609" s="28">
        <f>data[[#This Row],[Cantidad]]*data[[#This Row],[Precio de Venta Cliente ($/Unid)]]</f>
        <v>240.60000000000002</v>
      </c>
      <c r="S609" s="29"/>
      <c r="T609" s="106" t="s">
        <v>16</v>
      </c>
      <c r="U609" s="106"/>
      <c r="V609" s="30" t="s">
        <v>42</v>
      </c>
      <c r="W609" s="32" t="s">
        <v>42</v>
      </c>
      <c r="X609" s="22" t="s">
        <v>23</v>
      </c>
      <c r="Y609" s="22" t="s">
        <v>23</v>
      </c>
      <c r="Z609" s="22" t="s">
        <v>50</v>
      </c>
      <c r="AA609" s="106"/>
    </row>
    <row r="610" spans="2:27" x14ac:dyDescent="0.25">
      <c r="B610" s="23"/>
      <c r="C610" s="174" t="str">
        <f>TEXT(data[[#This Row],[Fecha de Envío
Cotización]],"MMMM")</f>
        <v>abril</v>
      </c>
      <c r="D610" s="174">
        <v>44292</v>
      </c>
      <c r="E610" s="174" t="str">
        <f>IF(data[[#This Row],[Estatus de 
Cotización]]="PERDIDO","N/A","")</f>
        <v>N/A</v>
      </c>
      <c r="F610" s="23"/>
      <c r="G610" s="109"/>
      <c r="H610" s="23"/>
      <c r="I610" s="86">
        <v>511776</v>
      </c>
      <c r="J610" s="87">
        <v>20172</v>
      </c>
      <c r="K610" s="24" t="s">
        <v>717</v>
      </c>
      <c r="L610" s="22"/>
      <c r="M610" s="108" t="s">
        <v>722</v>
      </c>
      <c r="N610" s="22">
        <v>1</v>
      </c>
      <c r="O610" s="26"/>
      <c r="P610" s="27">
        <v>75.81</v>
      </c>
      <c r="Q610" s="28">
        <f>data[[#This Row],[Costo Producto
Proveedor ($/Unid)]]*data[[#This Row],[Cantidad]]</f>
        <v>0</v>
      </c>
      <c r="R610" s="28">
        <f>data[[#This Row],[Cantidad]]*data[[#This Row],[Precio de Venta Cliente ($/Unid)]]</f>
        <v>75.81</v>
      </c>
      <c r="S610" s="29"/>
      <c r="T610" s="106" t="s">
        <v>16</v>
      </c>
      <c r="U610" s="106"/>
      <c r="V610" s="30" t="s">
        <v>42</v>
      </c>
      <c r="W610" s="32" t="s">
        <v>42</v>
      </c>
      <c r="X610" s="22" t="s">
        <v>23</v>
      </c>
      <c r="Y610" s="22" t="s">
        <v>23</v>
      </c>
      <c r="Z610" s="22" t="s">
        <v>50</v>
      </c>
      <c r="AA610" s="106"/>
    </row>
    <row r="611" spans="2:27" x14ac:dyDescent="0.25">
      <c r="B611" s="174"/>
      <c r="C611" s="174" t="str">
        <f>TEXT(data[[#This Row],[Fecha de Envío
Cotización]],"MMMM")</f>
        <v>abril</v>
      </c>
      <c r="D611" s="174">
        <v>44292</v>
      </c>
      <c r="E611" s="174" t="str">
        <f>IF(data[[#This Row],[Estatus de 
Cotización]]="PERDIDO","N/A","")</f>
        <v>N/A</v>
      </c>
      <c r="F611" s="174"/>
      <c r="G611" s="109"/>
      <c r="H611" s="174"/>
      <c r="I611" s="86">
        <v>511777</v>
      </c>
      <c r="J611" s="87">
        <v>20172</v>
      </c>
      <c r="K611" s="24" t="s">
        <v>717</v>
      </c>
      <c r="L611" s="106"/>
      <c r="M611" s="108" t="s">
        <v>723</v>
      </c>
      <c r="N611" s="106">
        <v>3</v>
      </c>
      <c r="O611" s="107"/>
      <c r="P611" s="27">
        <v>19.12</v>
      </c>
      <c r="Q611" s="28">
        <f>data[[#This Row],[Costo Producto
Proveedor ($/Unid)]]*data[[#This Row],[Cantidad]]</f>
        <v>0</v>
      </c>
      <c r="R611" s="28">
        <f>data[[#This Row],[Cantidad]]*data[[#This Row],[Precio de Venta Cliente ($/Unid)]]</f>
        <v>57.36</v>
      </c>
      <c r="S611" s="29"/>
      <c r="T611" s="106" t="s">
        <v>16</v>
      </c>
      <c r="U611" s="106"/>
      <c r="V611" s="30" t="s">
        <v>42</v>
      </c>
      <c r="W611" s="32" t="s">
        <v>42</v>
      </c>
      <c r="X611" s="106" t="s">
        <v>23</v>
      </c>
      <c r="Y611" s="106" t="s">
        <v>23</v>
      </c>
      <c r="Z611" s="106" t="s">
        <v>50</v>
      </c>
      <c r="AA611" s="106"/>
    </row>
    <row r="612" spans="2:27" x14ac:dyDescent="0.25">
      <c r="B612" s="174"/>
      <c r="C612" s="174" t="str">
        <f>TEXT(data[[#This Row],[Fecha de Envío
Cotización]],"MMMM")</f>
        <v>abril</v>
      </c>
      <c r="D612" s="174">
        <v>44292</v>
      </c>
      <c r="E612" s="174" t="str">
        <f>IF(data[[#This Row],[Estatus de 
Cotización]]="PERDIDO","N/A","")</f>
        <v>N/A</v>
      </c>
      <c r="F612" s="174"/>
      <c r="G612" s="109"/>
      <c r="H612" s="174"/>
      <c r="I612" s="86">
        <v>511778</v>
      </c>
      <c r="J612" s="87">
        <v>20172</v>
      </c>
      <c r="K612" s="24" t="s">
        <v>717</v>
      </c>
      <c r="L612" s="106"/>
      <c r="M612" s="108" t="s">
        <v>724</v>
      </c>
      <c r="N612" s="106">
        <v>3</v>
      </c>
      <c r="O612" s="107"/>
      <c r="P612" s="27">
        <v>19.12</v>
      </c>
      <c r="Q612" s="28">
        <f>data[[#This Row],[Costo Producto
Proveedor ($/Unid)]]*data[[#This Row],[Cantidad]]</f>
        <v>0</v>
      </c>
      <c r="R612" s="28">
        <f>data[[#This Row],[Cantidad]]*data[[#This Row],[Precio de Venta Cliente ($/Unid)]]</f>
        <v>57.36</v>
      </c>
      <c r="S612" s="29"/>
      <c r="T612" s="106" t="s">
        <v>16</v>
      </c>
      <c r="U612" s="106"/>
      <c r="V612" s="30" t="s">
        <v>42</v>
      </c>
      <c r="W612" s="32" t="s">
        <v>42</v>
      </c>
      <c r="X612" s="106" t="s">
        <v>23</v>
      </c>
      <c r="Y612" s="106" t="s">
        <v>23</v>
      </c>
      <c r="Z612" s="106" t="s">
        <v>50</v>
      </c>
      <c r="AA612" s="106"/>
    </row>
    <row r="613" spans="2:27" x14ac:dyDescent="0.25">
      <c r="B613" s="174"/>
      <c r="C613" s="174" t="str">
        <f>TEXT(data[[#This Row],[Fecha de Envío
Cotización]],"MMMM")</f>
        <v>abril</v>
      </c>
      <c r="D613" s="174">
        <v>44292</v>
      </c>
      <c r="E613" s="174" t="str">
        <f>IF(data[[#This Row],[Estatus de 
Cotización]]="PERDIDO","N/A","")</f>
        <v>N/A</v>
      </c>
      <c r="F613" s="174"/>
      <c r="G613" s="109"/>
      <c r="H613" s="174"/>
      <c r="I613" s="86">
        <v>511779</v>
      </c>
      <c r="J613" s="87">
        <v>20172</v>
      </c>
      <c r="K613" s="24" t="s">
        <v>717</v>
      </c>
      <c r="L613" s="106"/>
      <c r="M613" s="108" t="s">
        <v>725</v>
      </c>
      <c r="N613" s="106">
        <v>2</v>
      </c>
      <c r="O613" s="107"/>
      <c r="P613" s="27">
        <v>66</v>
      </c>
      <c r="Q613" s="28">
        <f>data[[#This Row],[Costo Producto
Proveedor ($/Unid)]]*data[[#This Row],[Cantidad]]</f>
        <v>0</v>
      </c>
      <c r="R613" s="28">
        <f>data[[#This Row],[Cantidad]]*data[[#This Row],[Precio de Venta Cliente ($/Unid)]]</f>
        <v>132</v>
      </c>
      <c r="S613" s="29"/>
      <c r="T613" s="106" t="s">
        <v>16</v>
      </c>
      <c r="U613" s="106"/>
      <c r="V613" s="30" t="s">
        <v>42</v>
      </c>
      <c r="W613" s="32" t="s">
        <v>42</v>
      </c>
      <c r="X613" s="106" t="s">
        <v>23</v>
      </c>
      <c r="Y613" s="106" t="s">
        <v>23</v>
      </c>
      <c r="Z613" s="106" t="s">
        <v>50</v>
      </c>
      <c r="AA613" s="106"/>
    </row>
    <row r="614" spans="2:27" x14ac:dyDescent="0.25">
      <c r="B614" s="174"/>
      <c r="C614" s="174" t="str">
        <f>TEXT(data[[#This Row],[Fecha de Envío
Cotización]],"MMMM")</f>
        <v>abril</v>
      </c>
      <c r="D614" s="174">
        <v>44292</v>
      </c>
      <c r="E614" s="174" t="str">
        <f>IF(data[[#This Row],[Estatus de 
Cotización]]="PERDIDO","N/A","")</f>
        <v>N/A</v>
      </c>
      <c r="F614" s="174"/>
      <c r="G614" s="109"/>
      <c r="H614" s="174"/>
      <c r="I614" s="86">
        <v>511780</v>
      </c>
      <c r="J614" s="87">
        <v>20172</v>
      </c>
      <c r="K614" s="24" t="s">
        <v>717</v>
      </c>
      <c r="L614" s="106"/>
      <c r="M614" s="108" t="s">
        <v>726</v>
      </c>
      <c r="N614" s="106">
        <v>1</v>
      </c>
      <c r="O614" s="107"/>
      <c r="P614" s="27">
        <v>65.17</v>
      </c>
      <c r="Q614" s="28">
        <f>data[[#This Row],[Costo Producto
Proveedor ($/Unid)]]*data[[#This Row],[Cantidad]]</f>
        <v>0</v>
      </c>
      <c r="R614" s="28">
        <f>data[[#This Row],[Cantidad]]*data[[#This Row],[Precio de Venta Cliente ($/Unid)]]</f>
        <v>65.17</v>
      </c>
      <c r="S614" s="29"/>
      <c r="T614" s="106" t="s">
        <v>16</v>
      </c>
      <c r="U614" s="106"/>
      <c r="V614" s="30" t="s">
        <v>42</v>
      </c>
      <c r="W614" s="32" t="s">
        <v>42</v>
      </c>
      <c r="X614" s="106" t="s">
        <v>23</v>
      </c>
      <c r="Y614" s="106" t="s">
        <v>23</v>
      </c>
      <c r="Z614" s="106" t="s">
        <v>50</v>
      </c>
      <c r="AA614" s="106"/>
    </row>
    <row r="615" spans="2:27" x14ac:dyDescent="0.25">
      <c r="B615" s="174"/>
      <c r="C615" s="174" t="str">
        <f>TEXT(data[[#This Row],[Fecha de Envío
Cotización]],"MMMM")</f>
        <v>abril</v>
      </c>
      <c r="D615" s="174">
        <v>44292</v>
      </c>
      <c r="E615" s="174" t="str">
        <f>IF(data[[#This Row],[Estatus de 
Cotización]]="PERDIDO","N/A","")</f>
        <v>N/A</v>
      </c>
      <c r="F615" s="174"/>
      <c r="G615" s="109"/>
      <c r="H615" s="174"/>
      <c r="I615" s="86">
        <v>511781</v>
      </c>
      <c r="J615" s="87">
        <v>20172</v>
      </c>
      <c r="K615" s="24" t="s">
        <v>717</v>
      </c>
      <c r="L615" s="106"/>
      <c r="M615" s="108" t="s">
        <v>727</v>
      </c>
      <c r="N615" s="106">
        <v>1</v>
      </c>
      <c r="O615" s="107"/>
      <c r="P615" s="27">
        <v>179.85</v>
      </c>
      <c r="Q615" s="28">
        <f>data[[#This Row],[Costo Producto
Proveedor ($/Unid)]]*data[[#This Row],[Cantidad]]</f>
        <v>0</v>
      </c>
      <c r="R615" s="28">
        <f>data[[#This Row],[Cantidad]]*data[[#This Row],[Precio de Venta Cliente ($/Unid)]]</f>
        <v>179.85</v>
      </c>
      <c r="S615" s="29"/>
      <c r="T615" s="106" t="s">
        <v>16</v>
      </c>
      <c r="U615" s="106"/>
      <c r="V615" s="30" t="s">
        <v>42</v>
      </c>
      <c r="W615" s="32" t="s">
        <v>42</v>
      </c>
      <c r="X615" s="106" t="s">
        <v>23</v>
      </c>
      <c r="Y615" s="106" t="s">
        <v>23</v>
      </c>
      <c r="Z615" s="106" t="s">
        <v>50</v>
      </c>
      <c r="AA615" s="106"/>
    </row>
    <row r="616" spans="2:27" x14ac:dyDescent="0.25">
      <c r="B616" s="174"/>
      <c r="C616" s="174" t="str">
        <f>TEXT(data[[#This Row],[Fecha de Envío
Cotización]],"MMMM")</f>
        <v>abril</v>
      </c>
      <c r="D616" s="174">
        <v>44292</v>
      </c>
      <c r="E616" s="174" t="str">
        <f>IF(data[[#This Row],[Estatus de 
Cotización]]="PERDIDO","N/A","")</f>
        <v>N/A</v>
      </c>
      <c r="F616" s="174"/>
      <c r="G616" s="109"/>
      <c r="H616" s="174"/>
      <c r="I616" s="86">
        <v>511782</v>
      </c>
      <c r="J616" s="87">
        <v>20146</v>
      </c>
      <c r="K616" s="24" t="s">
        <v>33</v>
      </c>
      <c r="L616" s="106"/>
      <c r="M616" s="108" t="s">
        <v>728</v>
      </c>
      <c r="N616" s="106">
        <v>1</v>
      </c>
      <c r="O616" s="107"/>
      <c r="P616" s="27">
        <v>430.91</v>
      </c>
      <c r="Q616" s="28">
        <f>data[[#This Row],[Costo Producto
Proveedor ($/Unid)]]*data[[#This Row],[Cantidad]]</f>
        <v>0</v>
      </c>
      <c r="R616" s="28">
        <f>data[[#This Row],[Cantidad]]*data[[#This Row],[Precio de Venta Cliente ($/Unid)]]</f>
        <v>430.91</v>
      </c>
      <c r="S616" s="29"/>
      <c r="T616" s="106" t="s">
        <v>16</v>
      </c>
      <c r="U616" s="106"/>
      <c r="V616" s="30" t="s">
        <v>42</v>
      </c>
      <c r="W616" s="32" t="s">
        <v>42</v>
      </c>
      <c r="X616" s="106" t="s">
        <v>23</v>
      </c>
      <c r="Y616" s="106" t="s">
        <v>23</v>
      </c>
      <c r="Z616" s="106" t="s">
        <v>50</v>
      </c>
      <c r="AA616" s="106"/>
    </row>
    <row r="617" spans="2:27" x14ac:dyDescent="0.25">
      <c r="B617" s="174"/>
      <c r="C617" s="174" t="str">
        <f>TEXT(data[[#This Row],[Fecha de Envío
Cotización]],"MMMM")</f>
        <v>abril</v>
      </c>
      <c r="D617" s="174">
        <v>44292</v>
      </c>
      <c r="E617" s="174" t="str">
        <f>IF(data[[#This Row],[Estatus de 
Cotización]]="PERDIDO","N/A","")</f>
        <v>N/A</v>
      </c>
      <c r="F617" s="174"/>
      <c r="G617" s="109"/>
      <c r="H617" s="174"/>
      <c r="I617" s="86">
        <v>511783</v>
      </c>
      <c r="J617" s="87">
        <v>20145</v>
      </c>
      <c r="K617" s="24" t="s">
        <v>33</v>
      </c>
      <c r="L617" s="106"/>
      <c r="M617" s="105" t="s">
        <v>1110</v>
      </c>
      <c r="N617" s="106">
        <v>4</v>
      </c>
      <c r="O617" s="107"/>
      <c r="P617" s="27">
        <v>53.85</v>
      </c>
      <c r="Q617" s="28">
        <f>data[[#This Row],[Costo Producto
Proveedor ($/Unid)]]*data[[#This Row],[Cantidad]]</f>
        <v>0</v>
      </c>
      <c r="R617" s="28">
        <f>data[[#This Row],[Cantidad]]*data[[#This Row],[Precio de Venta Cliente ($/Unid)]]</f>
        <v>215.4</v>
      </c>
      <c r="S617" s="29"/>
      <c r="T617" s="106" t="s">
        <v>124</v>
      </c>
      <c r="U617" s="106"/>
      <c r="V617" s="30" t="s">
        <v>42</v>
      </c>
      <c r="W617" s="32" t="s">
        <v>42</v>
      </c>
      <c r="X617" s="106" t="s">
        <v>23</v>
      </c>
      <c r="Y617" s="106" t="s">
        <v>23</v>
      </c>
      <c r="Z617" s="106" t="s">
        <v>50</v>
      </c>
      <c r="AA617" s="106"/>
    </row>
    <row r="618" spans="2:27" x14ac:dyDescent="0.25">
      <c r="B618" s="174"/>
      <c r="C618" s="174" t="str">
        <f>TEXT(data[[#This Row],[Fecha de Envío
Cotización]],"MMMM")</f>
        <v>abril</v>
      </c>
      <c r="D618" s="174">
        <v>44293</v>
      </c>
      <c r="E618" s="174" t="str">
        <f>IF(data[[#This Row],[Estatus de 
Cotización]]="PERDIDO","N/A","")</f>
        <v>N/A</v>
      </c>
      <c r="F618" s="174"/>
      <c r="G618" s="109"/>
      <c r="H618" s="174"/>
      <c r="I618" s="86">
        <v>511795</v>
      </c>
      <c r="J618" s="87">
        <v>20171</v>
      </c>
      <c r="K618" s="24" t="s">
        <v>33</v>
      </c>
      <c r="L618" s="106"/>
      <c r="M618" s="108" t="s">
        <v>729</v>
      </c>
      <c r="N618" s="106">
        <v>4</v>
      </c>
      <c r="O618" s="107"/>
      <c r="P618" s="27">
        <v>67.75</v>
      </c>
      <c r="Q618" s="28">
        <f>data[[#This Row],[Costo Producto
Proveedor ($/Unid)]]*data[[#This Row],[Cantidad]]</f>
        <v>0</v>
      </c>
      <c r="R618" s="28">
        <f>data[[#This Row],[Cantidad]]*data[[#This Row],[Precio de Venta Cliente ($/Unid)]]</f>
        <v>271</v>
      </c>
      <c r="S618" s="29"/>
      <c r="T618" s="106" t="s">
        <v>22</v>
      </c>
      <c r="U618" s="106"/>
      <c r="V618" s="30" t="s">
        <v>42</v>
      </c>
      <c r="W618" s="32" t="s">
        <v>42</v>
      </c>
      <c r="X618" s="106" t="s">
        <v>23</v>
      </c>
      <c r="Y618" s="106" t="s">
        <v>23</v>
      </c>
      <c r="Z618" s="106" t="s">
        <v>50</v>
      </c>
      <c r="AA618" s="106"/>
    </row>
    <row r="619" spans="2:27" x14ac:dyDescent="0.25">
      <c r="B619" s="23"/>
      <c r="C619" s="174" t="str">
        <f>TEXT(data[[#This Row],[Fecha de Envío
Cotización]],"MMMM")</f>
        <v>abril</v>
      </c>
      <c r="D619" s="23">
        <v>44293</v>
      </c>
      <c r="E619" s="174" t="str">
        <f>IF(data[[#This Row],[Estatus de 
Cotización]]="PERDIDO","N/A","")</f>
        <v>N/A</v>
      </c>
      <c r="F619" s="23"/>
      <c r="G619" s="109"/>
      <c r="H619" s="23"/>
      <c r="I619" s="86">
        <v>511796</v>
      </c>
      <c r="J619" s="87">
        <v>20171</v>
      </c>
      <c r="K619" s="24" t="s">
        <v>33</v>
      </c>
      <c r="L619" s="22"/>
      <c r="M619" s="108" t="s">
        <v>730</v>
      </c>
      <c r="N619" s="22">
        <v>4</v>
      </c>
      <c r="O619" s="26"/>
      <c r="P619" s="27">
        <v>241</v>
      </c>
      <c r="Q619" s="28">
        <f>data[[#This Row],[Costo Producto
Proveedor ($/Unid)]]*data[[#This Row],[Cantidad]]</f>
        <v>0</v>
      </c>
      <c r="R619" s="28">
        <f>data[[#This Row],[Cantidad]]*data[[#This Row],[Precio de Venta Cliente ($/Unid)]]</f>
        <v>964</v>
      </c>
      <c r="S619" s="29"/>
      <c r="T619" s="106" t="s">
        <v>22</v>
      </c>
      <c r="U619" s="106"/>
      <c r="V619" s="30" t="s">
        <v>42</v>
      </c>
      <c r="W619" s="32" t="s">
        <v>42</v>
      </c>
      <c r="X619" s="22" t="s">
        <v>23</v>
      </c>
      <c r="Y619" s="22" t="s">
        <v>23</v>
      </c>
      <c r="Z619" s="22" t="s">
        <v>50</v>
      </c>
      <c r="AA619" s="106"/>
    </row>
    <row r="620" spans="2:27" x14ac:dyDescent="0.25">
      <c r="B620" s="23"/>
      <c r="C620" s="174" t="str">
        <f>TEXT(data[[#This Row],[Fecha de Envío
Cotización]],"MMMM")</f>
        <v>abril</v>
      </c>
      <c r="D620" s="23">
        <v>44293</v>
      </c>
      <c r="E620" s="174" t="str">
        <f>IF(data[[#This Row],[Estatus de 
Cotización]]="PERDIDO","N/A","")</f>
        <v>N/A</v>
      </c>
      <c r="F620" s="23"/>
      <c r="G620" s="109"/>
      <c r="H620" s="23"/>
      <c r="I620" s="86">
        <v>511797</v>
      </c>
      <c r="J620" s="87">
        <v>20173</v>
      </c>
      <c r="K620" s="24" t="s">
        <v>90</v>
      </c>
      <c r="L620" s="22"/>
      <c r="M620" s="108" t="s">
        <v>731</v>
      </c>
      <c r="N620" s="22">
        <v>2</v>
      </c>
      <c r="O620" s="26"/>
      <c r="P620" s="27">
        <v>152.69999999999999</v>
      </c>
      <c r="Q620" s="28">
        <f>data[[#This Row],[Costo Producto
Proveedor ($/Unid)]]*data[[#This Row],[Cantidad]]</f>
        <v>0</v>
      </c>
      <c r="R620" s="28">
        <f>data[[#This Row],[Cantidad]]*data[[#This Row],[Precio de Venta Cliente ($/Unid)]]</f>
        <v>305.39999999999998</v>
      </c>
      <c r="S620" s="29"/>
      <c r="T620" s="106" t="s">
        <v>36</v>
      </c>
      <c r="U620" s="106"/>
      <c r="V620" s="30" t="s">
        <v>42</v>
      </c>
      <c r="W620" s="32" t="s">
        <v>42</v>
      </c>
      <c r="X620" s="22" t="s">
        <v>23</v>
      </c>
      <c r="Y620" s="22" t="s">
        <v>23</v>
      </c>
      <c r="Z620" s="22" t="s">
        <v>50</v>
      </c>
      <c r="AA620" s="106"/>
    </row>
    <row r="621" spans="2:27" x14ac:dyDescent="0.25">
      <c r="B621" s="23"/>
      <c r="C621" s="174" t="str">
        <f>TEXT(data[[#This Row],[Fecha de Envío
Cotización]],"MMMM")</f>
        <v>abril</v>
      </c>
      <c r="D621" s="23">
        <v>44293</v>
      </c>
      <c r="E621" s="174" t="str">
        <f>IF(data[[#This Row],[Estatus de 
Cotización]]="PERDIDO","N/A","")</f>
        <v>N/A</v>
      </c>
      <c r="F621" s="23"/>
      <c r="G621" s="109"/>
      <c r="H621" s="23"/>
      <c r="I621" s="86">
        <v>511798</v>
      </c>
      <c r="J621" s="87">
        <v>20173</v>
      </c>
      <c r="K621" s="24" t="s">
        <v>90</v>
      </c>
      <c r="L621" s="22"/>
      <c r="M621" s="108" t="s">
        <v>732</v>
      </c>
      <c r="N621" s="22">
        <v>1</v>
      </c>
      <c r="O621" s="26"/>
      <c r="P621" s="27">
        <v>583.39</v>
      </c>
      <c r="Q621" s="28">
        <f>data[[#This Row],[Costo Producto
Proveedor ($/Unid)]]*data[[#This Row],[Cantidad]]</f>
        <v>0</v>
      </c>
      <c r="R621" s="28">
        <f>data[[#This Row],[Cantidad]]*data[[#This Row],[Precio de Venta Cliente ($/Unid)]]</f>
        <v>583.39</v>
      </c>
      <c r="S621" s="29"/>
      <c r="T621" s="106" t="s">
        <v>36</v>
      </c>
      <c r="U621" s="106"/>
      <c r="V621" s="30" t="s">
        <v>42</v>
      </c>
      <c r="W621" s="32" t="s">
        <v>42</v>
      </c>
      <c r="X621" s="22" t="s">
        <v>23</v>
      </c>
      <c r="Y621" s="22" t="s">
        <v>23</v>
      </c>
      <c r="Z621" s="22" t="s">
        <v>50</v>
      </c>
      <c r="AA621" s="106"/>
    </row>
    <row r="622" spans="2:27" x14ac:dyDescent="0.25">
      <c r="B622" s="23"/>
      <c r="C622" s="174" t="str">
        <f>TEXT(data[[#This Row],[Fecha de Envío
Cotización]],"MMMM")</f>
        <v>abril</v>
      </c>
      <c r="D622" s="174">
        <v>44293</v>
      </c>
      <c r="E622" s="174" t="str">
        <f>IF(data[[#This Row],[Estatus de 
Cotización]]="PERDIDO","N/A","")</f>
        <v>N/A</v>
      </c>
      <c r="F622" s="23"/>
      <c r="G622" s="109"/>
      <c r="H622" s="23"/>
      <c r="I622" s="86">
        <v>511799</v>
      </c>
      <c r="J622" s="87">
        <v>20173</v>
      </c>
      <c r="K622" s="24" t="s">
        <v>90</v>
      </c>
      <c r="L622" s="22"/>
      <c r="M622" s="108" t="s">
        <v>733</v>
      </c>
      <c r="N622" s="22">
        <v>6</v>
      </c>
      <c r="O622" s="26"/>
      <c r="P622" s="27">
        <v>278.18</v>
      </c>
      <c r="Q622" s="28">
        <f>data[[#This Row],[Costo Producto
Proveedor ($/Unid)]]*data[[#This Row],[Cantidad]]</f>
        <v>0</v>
      </c>
      <c r="R622" s="28">
        <f>data[[#This Row],[Cantidad]]*data[[#This Row],[Precio de Venta Cliente ($/Unid)]]</f>
        <v>1669.08</v>
      </c>
      <c r="S622" s="29"/>
      <c r="T622" s="106" t="s">
        <v>36</v>
      </c>
      <c r="U622" s="106"/>
      <c r="V622" s="30" t="s">
        <v>42</v>
      </c>
      <c r="W622" s="32" t="s">
        <v>42</v>
      </c>
      <c r="X622" s="22" t="s">
        <v>23</v>
      </c>
      <c r="Y622" s="22" t="s">
        <v>23</v>
      </c>
      <c r="Z622" s="22" t="s">
        <v>50</v>
      </c>
      <c r="AA622" s="106"/>
    </row>
    <row r="623" spans="2:27" x14ac:dyDescent="0.25">
      <c r="B623" s="23"/>
      <c r="C623" s="174" t="str">
        <f>TEXT(data[[#This Row],[Fecha de Envío
Cotización]],"MMMM")</f>
        <v>abril</v>
      </c>
      <c r="D623" s="44">
        <v>44293</v>
      </c>
      <c r="E623" s="174" t="str">
        <f>IF(data[[#This Row],[Estatus de 
Cotización]]="PERDIDO","N/A","")</f>
        <v>N/A</v>
      </c>
      <c r="F623" s="23"/>
      <c r="G623" s="109"/>
      <c r="H623" s="23"/>
      <c r="I623" s="86">
        <v>511800</v>
      </c>
      <c r="J623" s="87">
        <v>20174</v>
      </c>
      <c r="K623" s="24" t="s">
        <v>90</v>
      </c>
      <c r="L623" s="22"/>
      <c r="M623" s="8" t="s">
        <v>734</v>
      </c>
      <c r="N623" s="22">
        <v>2</v>
      </c>
      <c r="O623" s="26"/>
      <c r="P623" s="27">
        <v>106.92</v>
      </c>
      <c r="Q623" s="28">
        <f>data[[#This Row],[Costo Producto
Proveedor ($/Unid)]]*data[[#This Row],[Cantidad]]</f>
        <v>0</v>
      </c>
      <c r="R623" s="28">
        <f>data[[#This Row],[Cantidad]]*data[[#This Row],[Precio de Venta Cliente ($/Unid)]]</f>
        <v>213.84</v>
      </c>
      <c r="S623" s="29"/>
      <c r="T623" s="106" t="s">
        <v>36</v>
      </c>
      <c r="U623" s="106"/>
      <c r="V623" s="30" t="s">
        <v>42</v>
      </c>
      <c r="W623" s="32" t="s">
        <v>42</v>
      </c>
      <c r="X623" s="22" t="s">
        <v>23</v>
      </c>
      <c r="Y623" s="22" t="s">
        <v>23</v>
      </c>
      <c r="Z623" s="22" t="s">
        <v>50</v>
      </c>
      <c r="AA623" s="106"/>
    </row>
    <row r="624" spans="2:27" x14ac:dyDescent="0.25">
      <c r="B624" s="23"/>
      <c r="C624" s="174" t="str">
        <f>TEXT(data[[#This Row],[Fecha de Envío
Cotización]],"MMMM")</f>
        <v>abril</v>
      </c>
      <c r="D624" s="23">
        <v>44293</v>
      </c>
      <c r="E624" s="174" t="str">
        <f>IF(data[[#This Row],[Estatus de 
Cotización]]="PERDIDO","N/A","")</f>
        <v>N/A</v>
      </c>
      <c r="F624" s="23"/>
      <c r="G624" s="109"/>
      <c r="H624" s="23"/>
      <c r="I624" s="86">
        <v>511801</v>
      </c>
      <c r="J624" s="87">
        <v>20174</v>
      </c>
      <c r="K624" s="24" t="s">
        <v>90</v>
      </c>
      <c r="L624" s="22"/>
      <c r="M624" s="108" t="s">
        <v>735</v>
      </c>
      <c r="N624" s="22">
        <v>2</v>
      </c>
      <c r="O624" s="26"/>
      <c r="P624" s="27">
        <v>209.14</v>
      </c>
      <c r="Q624" s="28">
        <f>data[[#This Row],[Costo Producto
Proveedor ($/Unid)]]*data[[#This Row],[Cantidad]]</f>
        <v>0</v>
      </c>
      <c r="R624" s="28">
        <f>data[[#This Row],[Cantidad]]*data[[#This Row],[Precio de Venta Cliente ($/Unid)]]</f>
        <v>418.28</v>
      </c>
      <c r="S624" s="29"/>
      <c r="T624" s="106" t="s">
        <v>36</v>
      </c>
      <c r="U624" s="106"/>
      <c r="V624" s="30" t="s">
        <v>42</v>
      </c>
      <c r="W624" s="32" t="s">
        <v>42</v>
      </c>
      <c r="X624" s="22" t="s">
        <v>23</v>
      </c>
      <c r="Y624" s="22" t="s">
        <v>23</v>
      </c>
      <c r="Z624" s="22" t="s">
        <v>50</v>
      </c>
      <c r="AA624" s="106"/>
    </row>
    <row r="625" spans="2:27" x14ac:dyDescent="0.25">
      <c r="B625" s="23"/>
      <c r="C625" s="174" t="str">
        <f>TEXT(data[[#This Row],[Fecha de Envío
Cotización]],"MMMM")</f>
        <v>abril</v>
      </c>
      <c r="D625" s="23">
        <v>44293</v>
      </c>
      <c r="E625" s="174" t="str">
        <f>IF(data[[#This Row],[Estatus de 
Cotización]]="PERDIDO","N/A","")</f>
        <v>N/A</v>
      </c>
      <c r="F625" s="23"/>
      <c r="G625" s="109"/>
      <c r="H625" s="23"/>
      <c r="I625" s="86">
        <v>511802</v>
      </c>
      <c r="J625" s="87">
        <v>20174</v>
      </c>
      <c r="K625" s="24" t="s">
        <v>90</v>
      </c>
      <c r="L625" s="22"/>
      <c r="M625" s="108" t="s">
        <v>736</v>
      </c>
      <c r="N625" s="22">
        <v>2</v>
      </c>
      <c r="O625" s="26"/>
      <c r="P625" s="27">
        <v>192.37</v>
      </c>
      <c r="Q625" s="28">
        <f>data[[#This Row],[Costo Producto
Proveedor ($/Unid)]]*data[[#This Row],[Cantidad]]</f>
        <v>0</v>
      </c>
      <c r="R625" s="28">
        <f>data[[#This Row],[Cantidad]]*data[[#This Row],[Precio de Venta Cliente ($/Unid)]]</f>
        <v>384.74</v>
      </c>
      <c r="S625" s="29"/>
      <c r="T625" s="106" t="s">
        <v>36</v>
      </c>
      <c r="U625" s="106"/>
      <c r="V625" s="30" t="s">
        <v>42</v>
      </c>
      <c r="W625" s="32" t="s">
        <v>42</v>
      </c>
      <c r="X625" s="22" t="s">
        <v>23</v>
      </c>
      <c r="Y625" s="22" t="s">
        <v>23</v>
      </c>
      <c r="Z625" s="22" t="s">
        <v>50</v>
      </c>
      <c r="AA625" s="106"/>
    </row>
    <row r="626" spans="2:27" x14ac:dyDescent="0.25">
      <c r="B626" s="23"/>
      <c r="C626" s="174" t="str">
        <f>TEXT(data[[#This Row],[Fecha de Envío
Cotización]],"MMMM")</f>
        <v>abril</v>
      </c>
      <c r="D626" s="23">
        <v>44293</v>
      </c>
      <c r="E626" s="174" t="str">
        <f>IF(data[[#This Row],[Estatus de 
Cotización]]="PERDIDO","N/A","")</f>
        <v>N/A</v>
      </c>
      <c r="F626" s="23"/>
      <c r="G626" s="109"/>
      <c r="H626" s="23"/>
      <c r="I626" s="86">
        <v>511803</v>
      </c>
      <c r="J626" s="87">
        <v>20176</v>
      </c>
      <c r="K626" s="24" t="s">
        <v>33</v>
      </c>
      <c r="L626" s="22"/>
      <c r="M626" s="108" t="s">
        <v>737</v>
      </c>
      <c r="N626" s="22">
        <v>1</v>
      </c>
      <c r="O626" s="26"/>
      <c r="P626" s="27">
        <v>577.5</v>
      </c>
      <c r="Q626" s="28">
        <f>data[[#This Row],[Costo Producto
Proveedor ($/Unid)]]*data[[#This Row],[Cantidad]]</f>
        <v>0</v>
      </c>
      <c r="R626" s="28">
        <f>data[[#This Row],[Cantidad]]*data[[#This Row],[Precio de Venta Cliente ($/Unid)]]</f>
        <v>577.5</v>
      </c>
      <c r="S626" s="29"/>
      <c r="T626" s="106" t="s">
        <v>738</v>
      </c>
      <c r="U626" s="106"/>
      <c r="V626" s="30" t="s">
        <v>42</v>
      </c>
      <c r="W626" s="32" t="s">
        <v>42</v>
      </c>
      <c r="X626" s="22" t="s">
        <v>23</v>
      </c>
      <c r="Y626" s="22" t="s">
        <v>23</v>
      </c>
      <c r="Z626" s="22" t="s">
        <v>50</v>
      </c>
      <c r="AA626" s="106"/>
    </row>
    <row r="627" spans="2:27" x14ac:dyDescent="0.25">
      <c r="B627" s="174"/>
      <c r="C627" s="174" t="str">
        <f>TEXT(data[[#This Row],[Fecha de Envío
Cotización]],"MMMM")</f>
        <v>abril</v>
      </c>
      <c r="D627" s="174">
        <v>44294</v>
      </c>
      <c r="E627" s="174" t="str">
        <f>IF(data[[#This Row],[Estatus de 
Cotización]]="PERDIDO","N/A","")</f>
        <v>N/A</v>
      </c>
      <c r="F627" s="174"/>
      <c r="G627" s="109"/>
      <c r="H627" s="174"/>
      <c r="I627" s="86">
        <v>511809</v>
      </c>
      <c r="J627" s="87">
        <v>20177</v>
      </c>
      <c r="K627" s="24" t="s">
        <v>109</v>
      </c>
      <c r="L627" s="106"/>
      <c r="M627" s="8" t="s">
        <v>739</v>
      </c>
      <c r="N627" s="106">
        <v>1</v>
      </c>
      <c r="O627" s="107"/>
      <c r="P627" s="27">
        <v>5194.96</v>
      </c>
      <c r="Q627" s="28">
        <f>data[[#This Row],[Costo Producto
Proveedor ($/Unid)]]*data[[#This Row],[Cantidad]]</f>
        <v>0</v>
      </c>
      <c r="R627" s="28">
        <f>data[[#This Row],[Cantidad]]*data[[#This Row],[Precio de Venta Cliente ($/Unid)]]</f>
        <v>5194.96</v>
      </c>
      <c r="S627" s="29"/>
      <c r="T627" s="106" t="s">
        <v>108</v>
      </c>
      <c r="U627" s="106"/>
      <c r="V627" s="30" t="s">
        <v>42</v>
      </c>
      <c r="W627" s="32" t="s">
        <v>42</v>
      </c>
      <c r="X627" s="106" t="s">
        <v>23</v>
      </c>
      <c r="Y627" s="106" t="s">
        <v>23</v>
      </c>
      <c r="Z627" s="106" t="s">
        <v>50</v>
      </c>
      <c r="AA627" s="106"/>
    </row>
    <row r="628" spans="2:27" x14ac:dyDescent="0.25">
      <c r="B628" s="23"/>
      <c r="C628" s="174" t="str">
        <f>TEXT(data[[#This Row],[Fecha de Envío
Cotización]],"MMMM")</f>
        <v>abril</v>
      </c>
      <c r="D628" s="23">
        <v>44295</v>
      </c>
      <c r="E628" s="174" t="str">
        <f>IF(data[[#This Row],[Estatus de 
Cotización]]="PERDIDO","N/A","")</f>
        <v>N/A</v>
      </c>
      <c r="F628" s="23"/>
      <c r="G628" s="109"/>
      <c r="H628" s="23"/>
      <c r="I628" s="86">
        <v>511816</v>
      </c>
      <c r="J628" s="87">
        <v>20181</v>
      </c>
      <c r="K628" s="24" t="s">
        <v>117</v>
      </c>
      <c r="L628" s="106"/>
      <c r="M628" s="108" t="s">
        <v>741</v>
      </c>
      <c r="N628" s="22">
        <v>10</v>
      </c>
      <c r="O628" s="26"/>
      <c r="P628" s="27">
        <v>33.380000000000003</v>
      </c>
      <c r="Q628" s="28">
        <f>data[[#This Row],[Costo Producto
Proveedor ($/Unid)]]*data[[#This Row],[Cantidad]]</f>
        <v>0</v>
      </c>
      <c r="R628" s="119">
        <f>data[[#This Row],[Cantidad]]*data[[#This Row],[Precio de Venta Cliente ($/Unid)]]</f>
        <v>333.8</v>
      </c>
      <c r="S628" s="29"/>
      <c r="T628" s="106" t="s">
        <v>16</v>
      </c>
      <c r="U628" s="106"/>
      <c r="V628" s="30" t="s">
        <v>42</v>
      </c>
      <c r="W628" s="32" t="s">
        <v>42</v>
      </c>
      <c r="X628" s="22" t="s">
        <v>23</v>
      </c>
      <c r="Y628" s="22" t="s">
        <v>23</v>
      </c>
      <c r="Z628" s="22" t="s">
        <v>50</v>
      </c>
      <c r="AA628" s="106"/>
    </row>
    <row r="629" spans="2:27" x14ac:dyDescent="0.25">
      <c r="B629" s="174"/>
      <c r="C629" s="174" t="str">
        <f>TEXT(data[[#This Row],[Fecha de Envío
Cotización]],"MMMM")</f>
        <v>abril</v>
      </c>
      <c r="D629" s="174">
        <v>44295</v>
      </c>
      <c r="E629" s="174" t="str">
        <f>IF(data[[#This Row],[Estatus de 
Cotización]]="PERDIDO","N/A","")</f>
        <v>N/A</v>
      </c>
      <c r="F629" s="174"/>
      <c r="G629" s="109"/>
      <c r="H629" s="174"/>
      <c r="I629" s="86">
        <v>511815</v>
      </c>
      <c r="J629" s="87">
        <v>20180</v>
      </c>
      <c r="K629" s="24" t="s">
        <v>33</v>
      </c>
      <c r="L629" s="106"/>
      <c r="M629" s="108" t="s">
        <v>740</v>
      </c>
      <c r="N629" s="106">
        <v>1</v>
      </c>
      <c r="O629" s="107"/>
      <c r="P629" s="27">
        <v>350.7</v>
      </c>
      <c r="Q629" s="28">
        <f>data[[#This Row],[Costo Producto
Proveedor ($/Unid)]]*data[[#This Row],[Cantidad]]</f>
        <v>0</v>
      </c>
      <c r="R629" s="28">
        <f>data[[#This Row],[Cantidad]]*data[[#This Row],[Precio de Venta Cliente ($/Unid)]]</f>
        <v>350.7</v>
      </c>
      <c r="S629" s="29"/>
      <c r="T629" s="106" t="s">
        <v>36</v>
      </c>
      <c r="U629" s="106"/>
      <c r="V629" s="30" t="s">
        <v>42</v>
      </c>
      <c r="W629" s="32" t="s">
        <v>42</v>
      </c>
      <c r="X629" s="106" t="s">
        <v>23</v>
      </c>
      <c r="Y629" s="106" t="s">
        <v>23</v>
      </c>
      <c r="Z629" s="106" t="s">
        <v>50</v>
      </c>
      <c r="AA629" s="106"/>
    </row>
    <row r="630" spans="2:27" x14ac:dyDescent="0.25">
      <c r="B630" s="23"/>
      <c r="C630" s="174" t="str">
        <f>TEXT(data[[#This Row],[Fecha de Envío
Cotización]],"MMMM")</f>
        <v>abril</v>
      </c>
      <c r="D630" s="23">
        <v>44295</v>
      </c>
      <c r="E630" s="174">
        <v>44327</v>
      </c>
      <c r="F630" s="23">
        <v>44377</v>
      </c>
      <c r="G630" s="109">
        <v>3210604</v>
      </c>
      <c r="H630" s="23">
        <v>44327</v>
      </c>
      <c r="I630" s="86">
        <v>511817</v>
      </c>
      <c r="J630" s="87">
        <v>20181</v>
      </c>
      <c r="K630" s="24" t="s">
        <v>33</v>
      </c>
      <c r="L630" s="22"/>
      <c r="M630" s="108" t="s">
        <v>742</v>
      </c>
      <c r="N630" s="22">
        <v>1</v>
      </c>
      <c r="O630" s="26"/>
      <c r="P630" s="27">
        <v>100</v>
      </c>
      <c r="Q630" s="28">
        <f>data[[#This Row],[Costo Producto
Proveedor ($/Unid)]]*data[[#This Row],[Cantidad]]</f>
        <v>0</v>
      </c>
      <c r="R630" s="120">
        <f>data[[#This Row],[Cantidad]]*data[[#This Row],[Precio de Venta Cliente ($/Unid)]]</f>
        <v>100</v>
      </c>
      <c r="S630" s="29"/>
      <c r="T630" s="106" t="s">
        <v>16</v>
      </c>
      <c r="U630" s="106"/>
      <c r="V630" s="30" t="s">
        <v>44</v>
      </c>
      <c r="W630" s="32" t="s">
        <v>44</v>
      </c>
      <c r="X630" s="22" t="s">
        <v>45</v>
      </c>
      <c r="Y630" s="22" t="s">
        <v>503</v>
      </c>
      <c r="Z630" s="22" t="s">
        <v>50</v>
      </c>
      <c r="AA630" s="106"/>
    </row>
    <row r="631" spans="2:27" x14ac:dyDescent="0.25">
      <c r="B631" s="174"/>
      <c r="C631" s="174" t="str">
        <f>TEXT(data[[#This Row],[Fecha de Envío
Cotización]],"MMMM")</f>
        <v>abril</v>
      </c>
      <c r="D631" s="174">
        <v>44295</v>
      </c>
      <c r="E631" s="174">
        <v>44327</v>
      </c>
      <c r="F631" s="174">
        <v>44377</v>
      </c>
      <c r="G631" s="109">
        <v>3210604</v>
      </c>
      <c r="H631" s="174">
        <v>44327</v>
      </c>
      <c r="I631" s="86">
        <v>511818</v>
      </c>
      <c r="J631" s="87">
        <v>20181</v>
      </c>
      <c r="K631" s="24" t="s">
        <v>33</v>
      </c>
      <c r="L631" s="106"/>
      <c r="M631" s="108" t="s">
        <v>743</v>
      </c>
      <c r="N631" s="106">
        <v>2</v>
      </c>
      <c r="O631" s="107"/>
      <c r="P631" s="27">
        <v>98</v>
      </c>
      <c r="Q631" s="28">
        <f>data[[#This Row],[Costo Producto
Proveedor ($/Unid)]]*data[[#This Row],[Cantidad]]</f>
        <v>0</v>
      </c>
      <c r="R631" s="120">
        <f>data[[#This Row],[Cantidad]]*data[[#This Row],[Precio de Venta Cliente ($/Unid)]]</f>
        <v>196</v>
      </c>
      <c r="S631" s="29"/>
      <c r="T631" s="106" t="s">
        <v>16</v>
      </c>
      <c r="U631" s="106"/>
      <c r="V631" s="30" t="s">
        <v>44</v>
      </c>
      <c r="W631" s="32" t="s">
        <v>44</v>
      </c>
      <c r="X631" s="106" t="s">
        <v>45</v>
      </c>
      <c r="Y631" s="106" t="s">
        <v>503</v>
      </c>
      <c r="Z631" s="106" t="s">
        <v>50</v>
      </c>
      <c r="AA631" s="106"/>
    </row>
    <row r="632" spans="2:27" x14ac:dyDescent="0.25">
      <c r="B632" s="23"/>
      <c r="C632" s="174" t="str">
        <f>TEXT(data[[#This Row],[Fecha de Envío
Cotización]],"MMMM")</f>
        <v>abril</v>
      </c>
      <c r="D632" s="23">
        <v>44295</v>
      </c>
      <c r="E632" s="174">
        <v>44327</v>
      </c>
      <c r="F632" s="23">
        <v>44377</v>
      </c>
      <c r="G632" s="109">
        <v>3210604</v>
      </c>
      <c r="H632" s="23">
        <v>44327</v>
      </c>
      <c r="I632" s="86">
        <v>511819</v>
      </c>
      <c r="J632" s="87">
        <v>20181</v>
      </c>
      <c r="K632" s="24" t="s">
        <v>33</v>
      </c>
      <c r="L632" s="106"/>
      <c r="M632" s="108" t="s">
        <v>744</v>
      </c>
      <c r="N632" s="22">
        <v>1</v>
      </c>
      <c r="O632" s="26"/>
      <c r="P632" s="27">
        <v>128</v>
      </c>
      <c r="Q632" s="28">
        <f>data[[#This Row],[Costo Producto
Proveedor ($/Unid)]]*data[[#This Row],[Cantidad]]</f>
        <v>0</v>
      </c>
      <c r="R632" s="120">
        <f>data[[#This Row],[Cantidad]]*data[[#This Row],[Precio de Venta Cliente ($/Unid)]]</f>
        <v>128</v>
      </c>
      <c r="S632" s="29"/>
      <c r="T632" s="106" t="s">
        <v>16</v>
      </c>
      <c r="U632" s="106"/>
      <c r="V632" s="30" t="s">
        <v>44</v>
      </c>
      <c r="W632" s="32" t="s">
        <v>44</v>
      </c>
      <c r="X632" s="22" t="s">
        <v>45</v>
      </c>
      <c r="Y632" s="22" t="s">
        <v>503</v>
      </c>
      <c r="Z632" s="22" t="s">
        <v>50</v>
      </c>
      <c r="AA632" s="106"/>
    </row>
    <row r="633" spans="2:27" x14ac:dyDescent="0.25">
      <c r="B633" s="23"/>
      <c r="C633" s="174" t="str">
        <f>TEXT(data[[#This Row],[Fecha de Envío
Cotización]],"MMMM")</f>
        <v>abril</v>
      </c>
      <c r="D633" s="23">
        <v>44295</v>
      </c>
      <c r="E633" s="174">
        <v>44327</v>
      </c>
      <c r="F633" s="23">
        <v>44377</v>
      </c>
      <c r="G633" s="109">
        <v>3210604</v>
      </c>
      <c r="H633" s="23">
        <v>44327</v>
      </c>
      <c r="I633" s="86">
        <v>511820</v>
      </c>
      <c r="J633" s="87">
        <v>20181</v>
      </c>
      <c r="K633" s="24" t="s">
        <v>33</v>
      </c>
      <c r="L633" s="22"/>
      <c r="M633" s="108" t="s">
        <v>745</v>
      </c>
      <c r="N633" s="22">
        <v>2</v>
      </c>
      <c r="O633" s="26"/>
      <c r="P633" s="27">
        <v>244</v>
      </c>
      <c r="Q633" s="28">
        <f>data[[#This Row],[Costo Producto
Proveedor ($/Unid)]]*data[[#This Row],[Cantidad]]</f>
        <v>0</v>
      </c>
      <c r="R633" s="120">
        <f>data[[#This Row],[Cantidad]]*data[[#This Row],[Precio de Venta Cliente ($/Unid)]]</f>
        <v>488</v>
      </c>
      <c r="S633" s="29"/>
      <c r="T633" s="106" t="s">
        <v>16</v>
      </c>
      <c r="U633" s="106"/>
      <c r="V633" s="30" t="s">
        <v>44</v>
      </c>
      <c r="W633" s="32" t="s">
        <v>44</v>
      </c>
      <c r="X633" s="22" t="s">
        <v>45</v>
      </c>
      <c r="Y633" s="22" t="s">
        <v>503</v>
      </c>
      <c r="Z633" s="22" t="s">
        <v>50</v>
      </c>
      <c r="AA633" s="106"/>
    </row>
    <row r="634" spans="2:27" x14ac:dyDescent="0.25">
      <c r="B634" s="23"/>
      <c r="C634" s="174" t="str">
        <f>TEXT(data[[#This Row],[Fecha de Envío
Cotización]],"MMMM")</f>
        <v>abril</v>
      </c>
      <c r="D634" s="23">
        <v>44295</v>
      </c>
      <c r="E634" s="174" t="str">
        <f>IF(data[[#This Row],[Estatus de 
Cotización]]="PERDIDO","N/A","")</f>
        <v>N/A</v>
      </c>
      <c r="F634" s="23"/>
      <c r="G634" s="109"/>
      <c r="H634" s="23"/>
      <c r="I634" s="86">
        <v>511821</v>
      </c>
      <c r="J634" s="87">
        <v>20183</v>
      </c>
      <c r="K634" s="24" t="s">
        <v>717</v>
      </c>
      <c r="L634" s="22"/>
      <c r="M634" s="108" t="s">
        <v>746</v>
      </c>
      <c r="N634" s="22">
        <v>1</v>
      </c>
      <c r="O634" s="26"/>
      <c r="P634" s="27">
        <v>536.95000000000005</v>
      </c>
      <c r="Q634" s="28">
        <f>data[[#This Row],[Costo Producto
Proveedor ($/Unid)]]*data[[#This Row],[Cantidad]]</f>
        <v>0</v>
      </c>
      <c r="R634" s="28">
        <f>data[[#This Row],[Cantidad]]*data[[#This Row],[Precio de Venta Cliente ($/Unid)]]</f>
        <v>536.95000000000005</v>
      </c>
      <c r="S634" s="29"/>
      <c r="T634" s="106" t="s">
        <v>16</v>
      </c>
      <c r="U634" s="106"/>
      <c r="V634" s="30" t="s">
        <v>42</v>
      </c>
      <c r="W634" s="32" t="s">
        <v>42</v>
      </c>
      <c r="X634" s="22" t="s">
        <v>23</v>
      </c>
      <c r="Y634" s="22" t="s">
        <v>23</v>
      </c>
      <c r="Z634" s="22" t="s">
        <v>50</v>
      </c>
      <c r="AA634" s="106"/>
    </row>
    <row r="635" spans="2:27" x14ac:dyDescent="0.25">
      <c r="B635" s="23"/>
      <c r="C635" s="174" t="str">
        <f>TEXT(data[[#This Row],[Fecha de Envío
Cotización]],"MMMM")</f>
        <v>abril</v>
      </c>
      <c r="D635" s="23">
        <v>44299</v>
      </c>
      <c r="E635" s="174" t="str">
        <f>IF(data[[#This Row],[Estatus de 
Cotización]]="PERDIDO","N/A","")</f>
        <v>N/A</v>
      </c>
      <c r="F635" s="23"/>
      <c r="G635" s="109"/>
      <c r="H635" s="23"/>
      <c r="I635" s="86">
        <v>511832</v>
      </c>
      <c r="J635" s="87">
        <v>20209</v>
      </c>
      <c r="K635" s="24" t="s">
        <v>125</v>
      </c>
      <c r="L635" s="22"/>
      <c r="M635" s="108" t="s">
        <v>747</v>
      </c>
      <c r="N635" s="22">
        <v>4</v>
      </c>
      <c r="O635" s="26"/>
      <c r="P635" s="27">
        <v>197.16</v>
      </c>
      <c r="Q635" s="28">
        <f>data[[#This Row],[Costo Producto
Proveedor ($/Unid)]]*data[[#This Row],[Cantidad]]</f>
        <v>0</v>
      </c>
      <c r="R635" s="28">
        <f>data[[#This Row],[Cantidad]]*data[[#This Row],[Precio de Venta Cliente ($/Unid)]]</f>
        <v>788.64</v>
      </c>
      <c r="S635" s="29"/>
      <c r="T635" s="106" t="s">
        <v>16</v>
      </c>
      <c r="U635" s="106"/>
      <c r="V635" s="30" t="s">
        <v>42</v>
      </c>
      <c r="W635" s="32" t="s">
        <v>42</v>
      </c>
      <c r="X635" s="22" t="s">
        <v>23</v>
      </c>
      <c r="Y635" s="22" t="s">
        <v>23</v>
      </c>
      <c r="Z635" s="22" t="s">
        <v>50</v>
      </c>
      <c r="AA635" s="106"/>
    </row>
    <row r="636" spans="2:27" x14ac:dyDescent="0.25">
      <c r="B636" s="23"/>
      <c r="C636" s="174" t="str">
        <f>TEXT(data[[#This Row],[Fecha de Envío
Cotización]],"MMMM")</f>
        <v>abril</v>
      </c>
      <c r="D636" s="23">
        <v>44299</v>
      </c>
      <c r="E636" s="174" t="str">
        <f>IF(data[[#This Row],[Estatus de 
Cotización]]="PERDIDO","N/A","")</f>
        <v>N/A</v>
      </c>
      <c r="F636" s="23"/>
      <c r="G636" s="109"/>
      <c r="H636" s="23"/>
      <c r="I636" s="86">
        <v>511833</v>
      </c>
      <c r="J636" s="87">
        <v>20208</v>
      </c>
      <c r="K636" s="24" t="s">
        <v>123</v>
      </c>
      <c r="L636" s="22"/>
      <c r="M636" s="108" t="s">
        <v>748</v>
      </c>
      <c r="N636" s="22">
        <v>1</v>
      </c>
      <c r="O636" s="26"/>
      <c r="P636" s="27">
        <v>138</v>
      </c>
      <c r="Q636" s="28">
        <f>data[[#This Row],[Costo Producto
Proveedor ($/Unid)]]*data[[#This Row],[Cantidad]]</f>
        <v>0</v>
      </c>
      <c r="R636" s="28">
        <f>data[[#This Row],[Cantidad]]*data[[#This Row],[Precio de Venta Cliente ($/Unid)]]</f>
        <v>138</v>
      </c>
      <c r="S636" s="29"/>
      <c r="T636" s="106" t="s">
        <v>16</v>
      </c>
      <c r="U636" s="106"/>
      <c r="V636" s="30" t="s">
        <v>42</v>
      </c>
      <c r="W636" s="32" t="s">
        <v>42</v>
      </c>
      <c r="X636" s="22" t="s">
        <v>23</v>
      </c>
      <c r="Y636" s="22" t="s">
        <v>23</v>
      </c>
      <c r="Z636" s="22" t="s">
        <v>50</v>
      </c>
      <c r="AA636" s="106"/>
    </row>
    <row r="637" spans="2:27" x14ac:dyDescent="0.25">
      <c r="B637" s="23"/>
      <c r="C637" s="174" t="str">
        <f>TEXT(data[[#This Row],[Fecha de Envío
Cotización]],"MMMM")</f>
        <v>abril</v>
      </c>
      <c r="D637" s="23">
        <v>44299</v>
      </c>
      <c r="E637" s="174" t="str">
        <f>IF(data[[#This Row],[Estatus de 
Cotización]]="PERDIDO","N/A","")</f>
        <v>N/A</v>
      </c>
      <c r="F637" s="23"/>
      <c r="G637" s="109"/>
      <c r="H637" s="23"/>
      <c r="I637" s="86">
        <v>511834</v>
      </c>
      <c r="J637" s="87">
        <v>20208</v>
      </c>
      <c r="K637" s="24" t="s">
        <v>123</v>
      </c>
      <c r="L637" s="22"/>
      <c r="M637" s="108" t="s">
        <v>749</v>
      </c>
      <c r="N637" s="22">
        <v>1</v>
      </c>
      <c r="O637" s="26"/>
      <c r="P637" s="27">
        <v>83.28</v>
      </c>
      <c r="Q637" s="28">
        <f>data[[#This Row],[Costo Producto
Proveedor ($/Unid)]]*data[[#This Row],[Cantidad]]</f>
        <v>0</v>
      </c>
      <c r="R637" s="28">
        <f>data[[#This Row],[Cantidad]]*data[[#This Row],[Precio de Venta Cliente ($/Unid)]]</f>
        <v>83.28</v>
      </c>
      <c r="S637" s="29"/>
      <c r="T637" s="106" t="s">
        <v>16</v>
      </c>
      <c r="U637" s="106"/>
      <c r="V637" s="30" t="s">
        <v>42</v>
      </c>
      <c r="W637" s="32" t="s">
        <v>42</v>
      </c>
      <c r="X637" s="22" t="s">
        <v>23</v>
      </c>
      <c r="Y637" s="22" t="s">
        <v>23</v>
      </c>
      <c r="Z637" s="22" t="s">
        <v>50</v>
      </c>
      <c r="AA637" s="106"/>
    </row>
    <row r="638" spans="2:27" x14ac:dyDescent="0.25">
      <c r="B638" s="23"/>
      <c r="C638" s="174" t="str">
        <f>TEXT(data[[#This Row],[Fecha de Envío
Cotización]],"MMMM")</f>
        <v>abril</v>
      </c>
      <c r="D638" s="23">
        <v>44299</v>
      </c>
      <c r="E638" s="174" t="str">
        <f>IF(data[[#This Row],[Estatus de 
Cotización]]="PERDIDO","N/A","")</f>
        <v>N/A</v>
      </c>
      <c r="F638" s="23"/>
      <c r="G638" s="109"/>
      <c r="H638" s="23"/>
      <c r="I638" s="86">
        <v>511835</v>
      </c>
      <c r="J638" s="87">
        <v>20206</v>
      </c>
      <c r="K638" s="24" t="s">
        <v>90</v>
      </c>
      <c r="L638" s="22"/>
      <c r="M638" s="108" t="s">
        <v>750</v>
      </c>
      <c r="N638" s="22">
        <v>1</v>
      </c>
      <c r="O638" s="26"/>
      <c r="P638" s="27">
        <v>429.63</v>
      </c>
      <c r="Q638" s="28">
        <f>data[[#This Row],[Costo Producto
Proveedor ($/Unid)]]*data[[#This Row],[Cantidad]]</f>
        <v>0</v>
      </c>
      <c r="R638" s="28">
        <f>data[[#This Row],[Cantidad]]*data[[#This Row],[Precio de Venta Cliente ($/Unid)]]</f>
        <v>429.63</v>
      </c>
      <c r="S638" s="29"/>
      <c r="T638" s="106" t="s">
        <v>124</v>
      </c>
      <c r="U638" s="106"/>
      <c r="V638" s="30" t="s">
        <v>42</v>
      </c>
      <c r="W638" s="32" t="s">
        <v>42</v>
      </c>
      <c r="X638" s="22" t="s">
        <v>23</v>
      </c>
      <c r="Y638" s="22" t="s">
        <v>23</v>
      </c>
      <c r="Z638" s="22" t="s">
        <v>50</v>
      </c>
      <c r="AA638" s="106"/>
    </row>
    <row r="639" spans="2:27" x14ac:dyDescent="0.25">
      <c r="B639" s="23"/>
      <c r="C639" s="174" t="str">
        <f>TEXT(data[[#This Row],[Fecha de Envío
Cotización]],"MMMM")</f>
        <v>abril</v>
      </c>
      <c r="D639" s="23">
        <v>44299</v>
      </c>
      <c r="E639" s="174" t="str">
        <f>IF(data[[#This Row],[Estatus de 
Cotización]]="PERDIDO","N/A","")</f>
        <v>N/A</v>
      </c>
      <c r="F639" s="23"/>
      <c r="G639" s="109"/>
      <c r="H639" s="23"/>
      <c r="I639" s="86">
        <v>511836</v>
      </c>
      <c r="J639" s="87">
        <v>20210</v>
      </c>
      <c r="K639" s="24" t="s">
        <v>125</v>
      </c>
      <c r="L639" s="22"/>
      <c r="M639" s="108" t="s">
        <v>751</v>
      </c>
      <c r="N639" s="22">
        <v>1</v>
      </c>
      <c r="O639" s="26"/>
      <c r="P639" s="27">
        <v>124.35</v>
      </c>
      <c r="Q639" s="28">
        <f>data[[#This Row],[Costo Producto
Proveedor ($/Unid)]]*data[[#This Row],[Cantidad]]</f>
        <v>0</v>
      </c>
      <c r="R639" s="28">
        <f>data[[#This Row],[Cantidad]]*data[[#This Row],[Precio de Venta Cliente ($/Unid)]]</f>
        <v>124.35</v>
      </c>
      <c r="S639" s="29"/>
      <c r="T639" s="106" t="s">
        <v>16</v>
      </c>
      <c r="U639" s="106"/>
      <c r="V639" s="30" t="s">
        <v>42</v>
      </c>
      <c r="W639" s="32" t="s">
        <v>42</v>
      </c>
      <c r="X639" s="22" t="s">
        <v>23</v>
      </c>
      <c r="Y639" s="22" t="s">
        <v>23</v>
      </c>
      <c r="Z639" s="22" t="s">
        <v>50</v>
      </c>
      <c r="AA639" s="106"/>
    </row>
    <row r="640" spans="2:27" x14ac:dyDescent="0.25">
      <c r="B640" s="174"/>
      <c r="C640" s="174" t="str">
        <f>TEXT(data[[#This Row],[Fecha de Envío
Cotización]],"MMMM")</f>
        <v>abril</v>
      </c>
      <c r="D640" s="174">
        <v>44300</v>
      </c>
      <c r="E640" s="174">
        <v>44312</v>
      </c>
      <c r="F640" s="174">
        <v>44355</v>
      </c>
      <c r="G640" s="109">
        <v>2100013109</v>
      </c>
      <c r="H640" s="174">
        <v>44312</v>
      </c>
      <c r="I640" s="86">
        <v>511860</v>
      </c>
      <c r="J640" s="87">
        <v>20214</v>
      </c>
      <c r="K640" s="24" t="s">
        <v>55</v>
      </c>
      <c r="L640" s="106"/>
      <c r="M640" s="108" t="s">
        <v>767</v>
      </c>
      <c r="N640" s="106">
        <v>2</v>
      </c>
      <c r="O640" s="107"/>
      <c r="P640" s="27">
        <v>944.45</v>
      </c>
      <c r="Q640" s="28">
        <f>data[[#This Row],[Costo Producto
Proveedor ($/Unid)]]*data[[#This Row],[Cantidad]]</f>
        <v>0</v>
      </c>
      <c r="R640" s="120">
        <f>data[[#This Row],[Cantidad]]*data[[#This Row],[Precio de Venta Cliente ($/Unid)]]</f>
        <v>1888.9</v>
      </c>
      <c r="S640" s="29"/>
      <c r="T640" s="106" t="s">
        <v>36</v>
      </c>
      <c r="U640" s="106"/>
      <c r="V640" s="30" t="s">
        <v>44</v>
      </c>
      <c r="W640" s="32" t="s">
        <v>44</v>
      </c>
      <c r="X640" s="106" t="s">
        <v>45</v>
      </c>
      <c r="Y640" s="106" t="s">
        <v>503</v>
      </c>
      <c r="Z640" s="106" t="s">
        <v>50</v>
      </c>
      <c r="AA640" s="106"/>
    </row>
    <row r="641" spans="2:27" x14ac:dyDescent="0.25">
      <c r="B641" s="23"/>
      <c r="C641" s="174" t="str">
        <f>TEXT(data[[#This Row],[Fecha de Envío
Cotización]],"MMMM")</f>
        <v>abril</v>
      </c>
      <c r="D641" s="23">
        <v>44300</v>
      </c>
      <c r="E641" s="174" t="str">
        <f>IF(data[[#This Row],[Estatus de 
Cotización]]="PERDIDO","N/A","")</f>
        <v>N/A</v>
      </c>
      <c r="F641" s="23"/>
      <c r="G641" s="109"/>
      <c r="H641" s="23"/>
      <c r="I641" s="86">
        <v>511858</v>
      </c>
      <c r="J641" s="87">
        <v>20213</v>
      </c>
      <c r="K641" s="24" t="s">
        <v>109</v>
      </c>
      <c r="L641" s="22"/>
      <c r="M641" s="108" t="s">
        <v>765</v>
      </c>
      <c r="N641" s="22">
        <v>1</v>
      </c>
      <c r="O641" s="26"/>
      <c r="P641" s="27">
        <v>1992.81</v>
      </c>
      <c r="Q641" s="28">
        <f>data[[#This Row],[Costo Producto
Proveedor ($/Unid)]]*data[[#This Row],[Cantidad]]</f>
        <v>0</v>
      </c>
      <c r="R641" s="119">
        <f>data[[#This Row],[Cantidad]]*data[[#This Row],[Precio de Venta Cliente ($/Unid)]]</f>
        <v>1992.81</v>
      </c>
      <c r="S641" s="29"/>
      <c r="T641" s="106" t="s">
        <v>16</v>
      </c>
      <c r="U641" s="106"/>
      <c r="V641" s="30" t="s">
        <v>42</v>
      </c>
      <c r="W641" s="32" t="s">
        <v>42</v>
      </c>
      <c r="X641" s="22" t="s">
        <v>23</v>
      </c>
      <c r="Y641" s="22" t="s">
        <v>23</v>
      </c>
      <c r="Z641" s="22" t="s">
        <v>50</v>
      </c>
      <c r="AA641" s="106"/>
    </row>
    <row r="642" spans="2:27" x14ac:dyDescent="0.25">
      <c r="B642" s="23"/>
      <c r="C642" s="174" t="str">
        <f>TEXT(data[[#This Row],[Fecha de Envío
Cotización]],"MMMM")</f>
        <v>abril</v>
      </c>
      <c r="D642" s="23">
        <v>44300</v>
      </c>
      <c r="E642" s="174" t="str">
        <f>IF(data[[#This Row],[Estatus de 
Cotización]]="PERDIDO","N/A","")</f>
        <v>N/A</v>
      </c>
      <c r="F642" s="23"/>
      <c r="G642" s="109"/>
      <c r="H642" s="23"/>
      <c r="I642" s="86">
        <v>511859</v>
      </c>
      <c r="J642" s="87">
        <v>20213</v>
      </c>
      <c r="K642" s="24" t="s">
        <v>109</v>
      </c>
      <c r="L642" s="22"/>
      <c r="M642" s="108" t="s">
        <v>766</v>
      </c>
      <c r="N642" s="22">
        <v>1</v>
      </c>
      <c r="O642" s="26"/>
      <c r="P642" s="27">
        <v>1532.56</v>
      </c>
      <c r="Q642" s="28">
        <f>data[[#This Row],[Costo Producto
Proveedor ($/Unid)]]*data[[#This Row],[Cantidad]]</f>
        <v>0</v>
      </c>
      <c r="R642" s="119">
        <f>data[[#This Row],[Cantidad]]*data[[#This Row],[Precio de Venta Cliente ($/Unid)]]</f>
        <v>1532.56</v>
      </c>
      <c r="S642" s="29"/>
      <c r="T642" s="106" t="s">
        <v>16</v>
      </c>
      <c r="U642" s="106"/>
      <c r="V642" s="30" t="s">
        <v>42</v>
      </c>
      <c r="W642" s="32" t="s">
        <v>42</v>
      </c>
      <c r="X642" s="22" t="s">
        <v>23</v>
      </c>
      <c r="Y642" s="22" t="s">
        <v>23</v>
      </c>
      <c r="Z642" s="22" t="s">
        <v>50</v>
      </c>
      <c r="AA642" s="106"/>
    </row>
    <row r="643" spans="2:27" x14ac:dyDescent="0.25">
      <c r="B643" s="174"/>
      <c r="C643" s="174" t="str">
        <f>TEXT(data[[#This Row],[Fecha de Envío
Cotización]],"MMMM")</f>
        <v>abril</v>
      </c>
      <c r="D643" s="174">
        <v>44300</v>
      </c>
      <c r="E643" s="174" t="str">
        <f>IF(data[[#This Row],[Estatus de 
Cotización]]="PERDIDO","N/A","")</f>
        <v>N/A</v>
      </c>
      <c r="F643" s="174"/>
      <c r="G643" s="109"/>
      <c r="H643" s="174"/>
      <c r="I643" s="86">
        <v>511861</v>
      </c>
      <c r="J643" s="87">
        <v>20214</v>
      </c>
      <c r="K643" s="24" t="s">
        <v>55</v>
      </c>
      <c r="L643" s="106"/>
      <c r="M643" s="8" t="s">
        <v>768</v>
      </c>
      <c r="N643" s="106">
        <v>5</v>
      </c>
      <c r="O643" s="107"/>
      <c r="P643" s="27">
        <v>96.52</v>
      </c>
      <c r="Q643" s="28">
        <f>data[[#This Row],[Costo Producto
Proveedor ($/Unid)]]*data[[#This Row],[Cantidad]]</f>
        <v>0</v>
      </c>
      <c r="R643" s="117">
        <f>data[[#This Row],[Cantidad]]*data[[#This Row],[Precio de Venta Cliente ($/Unid)]]</f>
        <v>482.59999999999997</v>
      </c>
      <c r="S643" s="29"/>
      <c r="T643" s="106" t="s">
        <v>36</v>
      </c>
      <c r="U643" s="106"/>
      <c r="V643" s="30" t="s">
        <v>42</v>
      </c>
      <c r="W643" s="32" t="s">
        <v>42</v>
      </c>
      <c r="X643" s="106" t="s">
        <v>23</v>
      </c>
      <c r="Y643" s="106" t="s">
        <v>23</v>
      </c>
      <c r="Z643" s="106" t="s">
        <v>50</v>
      </c>
      <c r="AA643" s="106"/>
    </row>
    <row r="644" spans="2:27" x14ac:dyDescent="0.25">
      <c r="B644" s="23"/>
      <c r="C644" s="174" t="str">
        <f>TEXT(data[[#This Row],[Fecha de Envío
Cotización]],"MMMM")</f>
        <v>abril</v>
      </c>
      <c r="D644" s="23">
        <v>44300</v>
      </c>
      <c r="E644" s="174" t="str">
        <f>IF(data[[#This Row],[Estatus de 
Cotización]]="PERDIDO","N/A","")</f>
        <v>N/A</v>
      </c>
      <c r="F644" s="23"/>
      <c r="G644" s="109"/>
      <c r="H644" s="23"/>
      <c r="I644" s="86">
        <v>511862</v>
      </c>
      <c r="J644" s="87">
        <v>20214</v>
      </c>
      <c r="K644" s="24" t="s">
        <v>55</v>
      </c>
      <c r="L644" s="22"/>
      <c r="M644" s="8" t="s">
        <v>769</v>
      </c>
      <c r="N644" s="22">
        <v>10</v>
      </c>
      <c r="O644" s="26"/>
      <c r="P644" s="27">
        <v>146.75</v>
      </c>
      <c r="Q644" s="28">
        <f>data[[#This Row],[Costo Producto
Proveedor ($/Unid)]]*data[[#This Row],[Cantidad]]</f>
        <v>0</v>
      </c>
      <c r="R644" s="117">
        <f>data[[#This Row],[Cantidad]]*data[[#This Row],[Precio de Venta Cliente ($/Unid)]]</f>
        <v>1467.5</v>
      </c>
      <c r="S644" s="29"/>
      <c r="T644" s="106" t="s">
        <v>36</v>
      </c>
      <c r="U644" s="106"/>
      <c r="V644" s="30" t="s">
        <v>42</v>
      </c>
      <c r="W644" s="32" t="s">
        <v>42</v>
      </c>
      <c r="X644" s="22" t="s">
        <v>23</v>
      </c>
      <c r="Y644" s="22" t="s">
        <v>23</v>
      </c>
      <c r="Z644" s="22" t="s">
        <v>50</v>
      </c>
      <c r="AA644" s="106"/>
    </row>
    <row r="645" spans="2:27" x14ac:dyDescent="0.25">
      <c r="B645" s="99"/>
      <c r="C645" s="174" t="str">
        <f>TEXT(data[[#This Row],[Fecha de Envío
Cotización]],"MMMM")</f>
        <v>abril</v>
      </c>
      <c r="D645" s="99">
        <v>44300</v>
      </c>
      <c r="E645" s="174" t="str">
        <f>IF(data[[#This Row],[Estatus de 
Cotización]]="PERDIDO","N/A","")</f>
        <v>N/A</v>
      </c>
      <c r="F645" s="99"/>
      <c r="G645" s="109"/>
      <c r="H645" s="99"/>
      <c r="I645" s="86">
        <v>511844</v>
      </c>
      <c r="J645" s="87">
        <v>20212</v>
      </c>
      <c r="K645" s="24" t="s">
        <v>126</v>
      </c>
      <c r="L645" s="22"/>
      <c r="M645" s="108" t="s">
        <v>752</v>
      </c>
      <c r="N645" s="22">
        <v>1</v>
      </c>
      <c r="O645" s="26"/>
      <c r="P645" s="27">
        <v>4498.24</v>
      </c>
      <c r="Q645" s="28">
        <f>data[[#This Row],[Costo Producto
Proveedor ($/Unid)]]*data[[#This Row],[Cantidad]]</f>
        <v>0</v>
      </c>
      <c r="R645" s="28">
        <f>data[[#This Row],[Cantidad]]*data[[#This Row],[Precio de Venta Cliente ($/Unid)]]</f>
        <v>4498.24</v>
      </c>
      <c r="S645" s="29"/>
      <c r="T645" s="106" t="s">
        <v>36</v>
      </c>
      <c r="U645" s="106"/>
      <c r="V645" s="30" t="s">
        <v>42</v>
      </c>
      <c r="W645" s="32" t="s">
        <v>42</v>
      </c>
      <c r="X645" s="22" t="s">
        <v>23</v>
      </c>
      <c r="Y645" s="22" t="s">
        <v>23</v>
      </c>
      <c r="Z645" s="22" t="s">
        <v>50</v>
      </c>
      <c r="AA645" s="106"/>
    </row>
    <row r="646" spans="2:27" x14ac:dyDescent="0.25">
      <c r="B646" s="174"/>
      <c r="C646" s="174" t="str">
        <f>TEXT(data[[#This Row],[Fecha de Envío
Cotización]],"MMMM")</f>
        <v>abril</v>
      </c>
      <c r="D646" s="174">
        <v>44300</v>
      </c>
      <c r="E646" s="174" t="str">
        <f>IF(data[[#This Row],[Estatus de 
Cotización]]="PERDIDO","N/A","")</f>
        <v>N/A</v>
      </c>
      <c r="F646" s="174"/>
      <c r="G646" s="109"/>
      <c r="H646" s="174"/>
      <c r="I646" s="86">
        <v>511845</v>
      </c>
      <c r="J646" s="87">
        <v>20212</v>
      </c>
      <c r="K646" s="24" t="s">
        <v>126</v>
      </c>
      <c r="L646" s="106"/>
      <c r="M646" s="108" t="s">
        <v>753</v>
      </c>
      <c r="N646" s="106">
        <v>3</v>
      </c>
      <c r="O646" s="107"/>
      <c r="P646" s="27">
        <v>64</v>
      </c>
      <c r="Q646" s="28">
        <f>data[[#This Row],[Costo Producto
Proveedor ($/Unid)]]*data[[#This Row],[Cantidad]]</f>
        <v>0</v>
      </c>
      <c r="R646" s="28">
        <f>data[[#This Row],[Cantidad]]*data[[#This Row],[Precio de Venta Cliente ($/Unid)]]</f>
        <v>192</v>
      </c>
      <c r="S646" s="29"/>
      <c r="T646" s="106" t="s">
        <v>36</v>
      </c>
      <c r="U646" s="106"/>
      <c r="V646" s="30" t="s">
        <v>42</v>
      </c>
      <c r="W646" s="32" t="s">
        <v>42</v>
      </c>
      <c r="X646" s="106" t="s">
        <v>23</v>
      </c>
      <c r="Y646" s="106" t="s">
        <v>23</v>
      </c>
      <c r="Z646" s="106" t="s">
        <v>50</v>
      </c>
      <c r="AA646" s="106"/>
    </row>
    <row r="647" spans="2:27" x14ac:dyDescent="0.25">
      <c r="B647" s="174"/>
      <c r="C647" s="174" t="str">
        <f>TEXT(data[[#This Row],[Fecha de Envío
Cotización]],"MMMM")</f>
        <v>abril</v>
      </c>
      <c r="D647" s="174">
        <v>44300</v>
      </c>
      <c r="E647" s="174" t="str">
        <f>IF(data[[#This Row],[Estatus de 
Cotización]]="PERDIDO","N/A","")</f>
        <v>N/A</v>
      </c>
      <c r="F647" s="174"/>
      <c r="G647" s="109"/>
      <c r="H647" s="174"/>
      <c r="I647" s="86">
        <v>511846</v>
      </c>
      <c r="J647" s="87">
        <v>20212</v>
      </c>
      <c r="K647" s="24" t="s">
        <v>126</v>
      </c>
      <c r="L647" s="106"/>
      <c r="M647" s="8" t="s">
        <v>754</v>
      </c>
      <c r="N647" s="106">
        <v>2</v>
      </c>
      <c r="O647" s="107"/>
      <c r="P647" s="27">
        <v>53.15</v>
      </c>
      <c r="Q647" s="28">
        <f>data[[#This Row],[Costo Producto
Proveedor ($/Unid)]]*data[[#This Row],[Cantidad]]</f>
        <v>0</v>
      </c>
      <c r="R647" s="28">
        <f>data[[#This Row],[Cantidad]]*data[[#This Row],[Precio de Venta Cliente ($/Unid)]]</f>
        <v>106.3</v>
      </c>
      <c r="S647" s="29"/>
      <c r="T647" s="106" t="s">
        <v>36</v>
      </c>
      <c r="U647" s="106"/>
      <c r="V647" s="30" t="s">
        <v>42</v>
      </c>
      <c r="W647" s="32" t="s">
        <v>42</v>
      </c>
      <c r="X647" s="106" t="s">
        <v>23</v>
      </c>
      <c r="Y647" s="106" t="s">
        <v>23</v>
      </c>
      <c r="Z647" s="106" t="s">
        <v>50</v>
      </c>
      <c r="AA647" s="106"/>
    </row>
    <row r="648" spans="2:27" x14ac:dyDescent="0.25">
      <c r="B648" s="23"/>
      <c r="C648" s="174" t="str">
        <f>TEXT(data[[#This Row],[Fecha de Envío
Cotización]],"MMMM")</f>
        <v>abril</v>
      </c>
      <c r="D648" s="23">
        <v>44300</v>
      </c>
      <c r="E648" s="174" t="str">
        <f>IF(data[[#This Row],[Estatus de 
Cotización]]="PERDIDO","N/A","")</f>
        <v>N/A</v>
      </c>
      <c r="F648" s="23"/>
      <c r="G648" s="109"/>
      <c r="H648" s="23"/>
      <c r="I648" s="86">
        <v>511847</v>
      </c>
      <c r="J648" s="87">
        <v>20212</v>
      </c>
      <c r="K648" s="24" t="s">
        <v>126</v>
      </c>
      <c r="L648" s="22"/>
      <c r="M648" s="108" t="s">
        <v>755</v>
      </c>
      <c r="N648" s="22">
        <v>2</v>
      </c>
      <c r="O648" s="26"/>
      <c r="P648" s="27">
        <v>275</v>
      </c>
      <c r="Q648" s="28">
        <f>data[[#This Row],[Costo Producto
Proveedor ($/Unid)]]*data[[#This Row],[Cantidad]]</f>
        <v>0</v>
      </c>
      <c r="R648" s="28">
        <f>data[[#This Row],[Cantidad]]*data[[#This Row],[Precio de Venta Cliente ($/Unid)]]</f>
        <v>550</v>
      </c>
      <c r="S648" s="29"/>
      <c r="T648" s="51" t="s">
        <v>36</v>
      </c>
      <c r="U648" s="51"/>
      <c r="V648" s="30" t="s">
        <v>42</v>
      </c>
      <c r="W648" s="32" t="s">
        <v>42</v>
      </c>
      <c r="X648" s="22" t="s">
        <v>23</v>
      </c>
      <c r="Y648" s="22" t="s">
        <v>23</v>
      </c>
      <c r="Z648" s="22" t="s">
        <v>50</v>
      </c>
      <c r="AA648" s="106"/>
    </row>
    <row r="649" spans="2:27" x14ac:dyDescent="0.25">
      <c r="B649" s="23"/>
      <c r="C649" s="174" t="str">
        <f>TEXT(data[[#This Row],[Fecha de Envío
Cotización]],"MMMM")</f>
        <v>abril</v>
      </c>
      <c r="D649" s="23">
        <v>44300</v>
      </c>
      <c r="E649" s="174" t="str">
        <f>IF(data[[#This Row],[Estatus de 
Cotización]]="PERDIDO","N/A","")</f>
        <v>N/A</v>
      </c>
      <c r="F649" s="23"/>
      <c r="G649" s="109"/>
      <c r="H649" s="23"/>
      <c r="I649" s="86">
        <v>511848</v>
      </c>
      <c r="J649" s="87">
        <v>20212</v>
      </c>
      <c r="K649" s="24" t="s">
        <v>126</v>
      </c>
      <c r="L649" s="22"/>
      <c r="M649" s="108" t="s">
        <v>756</v>
      </c>
      <c r="N649" s="22">
        <v>1</v>
      </c>
      <c r="O649" s="26"/>
      <c r="P649" s="27">
        <v>1932</v>
      </c>
      <c r="Q649" s="28">
        <f>data[[#This Row],[Costo Producto
Proveedor ($/Unid)]]*data[[#This Row],[Cantidad]]</f>
        <v>0</v>
      </c>
      <c r="R649" s="28">
        <f>data[[#This Row],[Cantidad]]*data[[#This Row],[Precio de Venta Cliente ($/Unid)]]</f>
        <v>1932</v>
      </c>
      <c r="S649" s="29"/>
      <c r="T649" s="106" t="s">
        <v>36</v>
      </c>
      <c r="U649" s="51"/>
      <c r="V649" s="30" t="s">
        <v>42</v>
      </c>
      <c r="W649" s="32" t="s">
        <v>42</v>
      </c>
      <c r="X649" s="22" t="s">
        <v>23</v>
      </c>
      <c r="Y649" s="22" t="s">
        <v>23</v>
      </c>
      <c r="Z649" s="22" t="s">
        <v>50</v>
      </c>
      <c r="AA649" s="106"/>
    </row>
    <row r="650" spans="2:27" x14ac:dyDescent="0.25">
      <c r="B650" s="23"/>
      <c r="C650" s="174" t="str">
        <f>TEXT(data[[#This Row],[Fecha de Envío
Cotización]],"MMMM")</f>
        <v>abril</v>
      </c>
      <c r="D650" s="23">
        <v>44300</v>
      </c>
      <c r="E650" s="174" t="str">
        <f>IF(data[[#This Row],[Estatus de 
Cotización]]="PERDIDO","N/A","")</f>
        <v>N/A</v>
      </c>
      <c r="F650" s="23"/>
      <c r="G650" s="109"/>
      <c r="H650" s="23"/>
      <c r="I650" s="86">
        <v>511849</v>
      </c>
      <c r="J650" s="87">
        <v>20212</v>
      </c>
      <c r="K650" s="24" t="s">
        <v>126</v>
      </c>
      <c r="L650" s="22"/>
      <c r="M650" s="108" t="s">
        <v>757</v>
      </c>
      <c r="N650" s="22">
        <v>12</v>
      </c>
      <c r="O650" s="26"/>
      <c r="P650" s="27">
        <v>36.799999999999997</v>
      </c>
      <c r="Q650" s="28">
        <f>data[[#This Row],[Costo Producto
Proveedor ($/Unid)]]*data[[#This Row],[Cantidad]]</f>
        <v>0</v>
      </c>
      <c r="R650" s="28">
        <f>data[[#This Row],[Cantidad]]*data[[#This Row],[Precio de Venta Cliente ($/Unid)]]</f>
        <v>441.59999999999997</v>
      </c>
      <c r="S650" s="29"/>
      <c r="T650" s="51" t="s">
        <v>36</v>
      </c>
      <c r="U650" s="51"/>
      <c r="V650" s="30" t="s">
        <v>42</v>
      </c>
      <c r="W650" s="32" t="s">
        <v>42</v>
      </c>
      <c r="X650" s="22" t="s">
        <v>23</v>
      </c>
      <c r="Y650" s="22" t="s">
        <v>23</v>
      </c>
      <c r="Z650" s="22" t="s">
        <v>50</v>
      </c>
      <c r="AA650" s="106"/>
    </row>
    <row r="651" spans="2:27" x14ac:dyDescent="0.25">
      <c r="B651" s="23"/>
      <c r="C651" s="174" t="str">
        <f>TEXT(data[[#This Row],[Fecha de Envío
Cotización]],"MMMM")</f>
        <v>abril</v>
      </c>
      <c r="D651" s="23">
        <v>44300</v>
      </c>
      <c r="E651" s="174" t="str">
        <f>IF(data[[#This Row],[Estatus de 
Cotización]]="PERDIDO","N/A","")</f>
        <v>N/A</v>
      </c>
      <c r="F651" s="23"/>
      <c r="G651" s="109"/>
      <c r="H651" s="23"/>
      <c r="I651" s="86">
        <v>511850</v>
      </c>
      <c r="J651" s="87">
        <v>20212</v>
      </c>
      <c r="K651" s="24" t="s">
        <v>126</v>
      </c>
      <c r="L651" s="22"/>
      <c r="M651" s="8" t="s">
        <v>758</v>
      </c>
      <c r="N651" s="22">
        <v>12</v>
      </c>
      <c r="O651" s="26"/>
      <c r="P651" s="27">
        <v>42.9</v>
      </c>
      <c r="Q651" s="28">
        <f>data[[#This Row],[Costo Producto
Proveedor ($/Unid)]]*data[[#This Row],[Cantidad]]</f>
        <v>0</v>
      </c>
      <c r="R651" s="28">
        <f>data[[#This Row],[Cantidad]]*data[[#This Row],[Precio de Venta Cliente ($/Unid)]]</f>
        <v>514.79999999999995</v>
      </c>
      <c r="S651" s="29"/>
      <c r="T651" s="51" t="s">
        <v>36</v>
      </c>
      <c r="U651" s="51"/>
      <c r="V651" s="30" t="s">
        <v>42</v>
      </c>
      <c r="W651" s="32" t="s">
        <v>42</v>
      </c>
      <c r="X651" s="22" t="s">
        <v>23</v>
      </c>
      <c r="Y651" s="22" t="s">
        <v>23</v>
      </c>
      <c r="Z651" s="22" t="s">
        <v>50</v>
      </c>
      <c r="AA651" s="106"/>
    </row>
    <row r="652" spans="2:27" x14ac:dyDescent="0.25">
      <c r="B652" s="174"/>
      <c r="C652" s="174" t="str">
        <f>TEXT(data[[#This Row],[Fecha de Envío
Cotización]],"MMMM")</f>
        <v>abril</v>
      </c>
      <c r="D652" s="174">
        <v>44300</v>
      </c>
      <c r="E652" s="174" t="str">
        <f>IF(data[[#This Row],[Estatus de 
Cotización]]="PERDIDO","N/A","")</f>
        <v>N/A</v>
      </c>
      <c r="F652" s="174"/>
      <c r="G652" s="109"/>
      <c r="H652" s="174"/>
      <c r="I652" s="86">
        <v>511851</v>
      </c>
      <c r="J652" s="87">
        <v>20212</v>
      </c>
      <c r="K652" s="24" t="s">
        <v>126</v>
      </c>
      <c r="L652" s="106"/>
      <c r="M652" s="8" t="s">
        <v>759</v>
      </c>
      <c r="N652" s="106">
        <v>6</v>
      </c>
      <c r="O652" s="107"/>
      <c r="P652" s="27">
        <v>42.9</v>
      </c>
      <c r="Q652" s="28">
        <f>data[[#This Row],[Costo Producto
Proveedor ($/Unid)]]*data[[#This Row],[Cantidad]]</f>
        <v>0</v>
      </c>
      <c r="R652" s="28">
        <f>data[[#This Row],[Cantidad]]*data[[#This Row],[Precio de Venta Cliente ($/Unid)]]</f>
        <v>257.39999999999998</v>
      </c>
      <c r="S652" s="29"/>
      <c r="T652" s="106" t="s">
        <v>36</v>
      </c>
      <c r="U652" s="106"/>
      <c r="V652" s="30" t="s">
        <v>42</v>
      </c>
      <c r="W652" s="32" t="s">
        <v>42</v>
      </c>
      <c r="X652" s="106" t="s">
        <v>23</v>
      </c>
      <c r="Y652" s="106" t="s">
        <v>23</v>
      </c>
      <c r="Z652" s="106" t="s">
        <v>50</v>
      </c>
      <c r="AA652" s="106"/>
    </row>
    <row r="653" spans="2:27" x14ac:dyDescent="0.25">
      <c r="B653" s="23"/>
      <c r="C653" s="174" t="str">
        <f>TEXT(data[[#This Row],[Fecha de Envío
Cotización]],"MMMM")</f>
        <v>abril</v>
      </c>
      <c r="D653" s="23">
        <v>44300</v>
      </c>
      <c r="E653" s="174" t="str">
        <f>IF(data[[#This Row],[Estatus de 
Cotización]]="PERDIDO","N/A","")</f>
        <v>N/A</v>
      </c>
      <c r="F653" s="23"/>
      <c r="G653" s="109"/>
      <c r="H653" s="23"/>
      <c r="I653" s="86">
        <v>511852</v>
      </c>
      <c r="J653" s="87">
        <v>20212</v>
      </c>
      <c r="K653" s="24" t="s">
        <v>126</v>
      </c>
      <c r="L653" s="22"/>
      <c r="M653" s="8" t="s">
        <v>755</v>
      </c>
      <c r="N653" s="22">
        <v>2</v>
      </c>
      <c r="O653" s="26"/>
      <c r="P653" s="27">
        <v>272.2</v>
      </c>
      <c r="Q653" s="28">
        <f>data[[#This Row],[Costo Producto
Proveedor ($/Unid)]]*data[[#This Row],[Cantidad]]</f>
        <v>0</v>
      </c>
      <c r="R653" s="28">
        <f>data[[#This Row],[Cantidad]]*data[[#This Row],[Precio de Venta Cliente ($/Unid)]]</f>
        <v>544.4</v>
      </c>
      <c r="S653" s="29"/>
      <c r="T653" s="51" t="s">
        <v>36</v>
      </c>
      <c r="U653" s="51"/>
      <c r="V653" s="30" t="s">
        <v>42</v>
      </c>
      <c r="W653" s="32" t="s">
        <v>42</v>
      </c>
      <c r="X653" s="22" t="s">
        <v>23</v>
      </c>
      <c r="Y653" s="22" t="s">
        <v>23</v>
      </c>
      <c r="Z653" s="22" t="s">
        <v>50</v>
      </c>
      <c r="AA653" s="106"/>
    </row>
    <row r="654" spans="2:27" x14ac:dyDescent="0.25">
      <c r="B654" s="23"/>
      <c r="C654" s="174" t="str">
        <f>TEXT(data[[#This Row],[Fecha de Envío
Cotización]],"MMMM")</f>
        <v>abril</v>
      </c>
      <c r="D654" s="23">
        <v>44300</v>
      </c>
      <c r="E654" s="174" t="str">
        <f>IF(data[[#This Row],[Estatus de 
Cotización]]="PERDIDO","N/A","")</f>
        <v>N/A</v>
      </c>
      <c r="F654" s="23"/>
      <c r="G654" s="109"/>
      <c r="H654" s="23"/>
      <c r="I654" s="86">
        <v>511853</v>
      </c>
      <c r="J654" s="87">
        <v>20212</v>
      </c>
      <c r="K654" s="24" t="s">
        <v>126</v>
      </c>
      <c r="L654" s="22"/>
      <c r="M654" s="8" t="s">
        <v>760</v>
      </c>
      <c r="N654" s="22">
        <v>2</v>
      </c>
      <c r="O654" s="26"/>
      <c r="P654" s="27">
        <v>254.4</v>
      </c>
      <c r="Q654" s="28">
        <f>data[[#This Row],[Costo Producto
Proveedor ($/Unid)]]*data[[#This Row],[Cantidad]]</f>
        <v>0</v>
      </c>
      <c r="R654" s="28">
        <f>data[[#This Row],[Cantidad]]*data[[#This Row],[Precio de Venta Cliente ($/Unid)]]</f>
        <v>508.8</v>
      </c>
      <c r="S654" s="29"/>
      <c r="T654" s="106" t="s">
        <v>36</v>
      </c>
      <c r="U654" s="106"/>
      <c r="V654" s="30" t="s">
        <v>42</v>
      </c>
      <c r="W654" s="32" t="s">
        <v>42</v>
      </c>
      <c r="X654" s="22" t="s">
        <v>23</v>
      </c>
      <c r="Y654" s="22" t="s">
        <v>23</v>
      </c>
      <c r="Z654" s="22" t="s">
        <v>50</v>
      </c>
      <c r="AA654" s="106"/>
    </row>
    <row r="655" spans="2:27" x14ac:dyDescent="0.25">
      <c r="B655" s="23"/>
      <c r="C655" s="174" t="str">
        <f>TEXT(data[[#This Row],[Fecha de Envío
Cotización]],"MMMM")</f>
        <v>abril</v>
      </c>
      <c r="D655" s="23">
        <v>44300</v>
      </c>
      <c r="E655" s="174" t="str">
        <f>IF(data[[#This Row],[Estatus de 
Cotización]]="PERDIDO","N/A","")</f>
        <v>N/A</v>
      </c>
      <c r="F655" s="23"/>
      <c r="G655" s="109"/>
      <c r="H655" s="23"/>
      <c r="I655" s="86">
        <v>511854</v>
      </c>
      <c r="J655" s="87">
        <v>20212</v>
      </c>
      <c r="K655" s="24" t="s">
        <v>126</v>
      </c>
      <c r="L655" s="22"/>
      <c r="M655" s="8" t="s">
        <v>761</v>
      </c>
      <c r="N655" s="22">
        <v>1</v>
      </c>
      <c r="O655" s="26"/>
      <c r="P655" s="27">
        <v>239.07</v>
      </c>
      <c r="Q655" s="28">
        <f>data[[#This Row],[Costo Producto
Proveedor ($/Unid)]]*data[[#This Row],[Cantidad]]</f>
        <v>0</v>
      </c>
      <c r="R655" s="28">
        <f>data[[#This Row],[Cantidad]]*data[[#This Row],[Precio de Venta Cliente ($/Unid)]]</f>
        <v>239.07</v>
      </c>
      <c r="S655" s="29"/>
      <c r="T655" s="106" t="s">
        <v>36</v>
      </c>
      <c r="U655" s="106"/>
      <c r="V655" s="30" t="s">
        <v>42</v>
      </c>
      <c r="W655" s="32" t="s">
        <v>42</v>
      </c>
      <c r="X655" s="22" t="s">
        <v>23</v>
      </c>
      <c r="Y655" s="22" t="s">
        <v>23</v>
      </c>
      <c r="Z655" s="22" t="s">
        <v>50</v>
      </c>
      <c r="AA655" s="106"/>
    </row>
    <row r="656" spans="2:27" x14ac:dyDescent="0.25">
      <c r="B656" s="23"/>
      <c r="C656" s="174" t="str">
        <f>TEXT(data[[#This Row],[Fecha de Envío
Cotización]],"MMMM")</f>
        <v>abril</v>
      </c>
      <c r="D656" s="23">
        <v>44300</v>
      </c>
      <c r="E656" s="174" t="str">
        <f>IF(data[[#This Row],[Estatus de 
Cotización]]="PERDIDO","N/A","")</f>
        <v>N/A</v>
      </c>
      <c r="F656" s="23"/>
      <c r="G656" s="109"/>
      <c r="H656" s="23"/>
      <c r="I656" s="86">
        <v>511855</v>
      </c>
      <c r="J656" s="87">
        <v>20212</v>
      </c>
      <c r="K656" s="24" t="s">
        <v>126</v>
      </c>
      <c r="L656" s="22"/>
      <c r="M656" s="8" t="s">
        <v>762</v>
      </c>
      <c r="N656" s="22">
        <v>2</v>
      </c>
      <c r="O656" s="26"/>
      <c r="P656" s="27">
        <v>127.98</v>
      </c>
      <c r="Q656" s="28">
        <f>data[[#This Row],[Costo Producto
Proveedor ($/Unid)]]*data[[#This Row],[Cantidad]]</f>
        <v>0</v>
      </c>
      <c r="R656" s="28">
        <f>data[[#This Row],[Cantidad]]*data[[#This Row],[Precio de Venta Cliente ($/Unid)]]</f>
        <v>255.96</v>
      </c>
      <c r="S656" s="29"/>
      <c r="T656" s="106" t="s">
        <v>36</v>
      </c>
      <c r="U656" s="106"/>
      <c r="V656" s="30" t="s">
        <v>42</v>
      </c>
      <c r="W656" s="32" t="s">
        <v>42</v>
      </c>
      <c r="X656" s="22" t="s">
        <v>23</v>
      </c>
      <c r="Y656" s="22" t="s">
        <v>23</v>
      </c>
      <c r="Z656" s="22" t="s">
        <v>50</v>
      </c>
      <c r="AA656" s="106"/>
    </row>
    <row r="657" spans="2:27" x14ac:dyDescent="0.25">
      <c r="B657" s="23"/>
      <c r="C657" s="174" t="str">
        <f>TEXT(data[[#This Row],[Fecha de Envío
Cotización]],"MMMM")</f>
        <v>abril</v>
      </c>
      <c r="D657" s="23">
        <v>44300</v>
      </c>
      <c r="E657" s="174" t="str">
        <f>IF(data[[#This Row],[Estatus de 
Cotización]]="PERDIDO","N/A","")</f>
        <v>N/A</v>
      </c>
      <c r="F657" s="23"/>
      <c r="G657" s="109"/>
      <c r="H657" s="23"/>
      <c r="I657" s="86">
        <v>511856</v>
      </c>
      <c r="J657" s="87">
        <v>20212</v>
      </c>
      <c r="K657" s="24" t="s">
        <v>126</v>
      </c>
      <c r="L657" s="106"/>
      <c r="M657" s="8" t="s">
        <v>763</v>
      </c>
      <c r="N657" s="22">
        <v>12</v>
      </c>
      <c r="O657" s="26"/>
      <c r="P657" s="27">
        <v>34.18</v>
      </c>
      <c r="Q657" s="28">
        <f>data[[#This Row],[Costo Producto
Proveedor ($/Unid)]]*data[[#This Row],[Cantidad]]</f>
        <v>0</v>
      </c>
      <c r="R657" s="28">
        <f>data[[#This Row],[Cantidad]]*data[[#This Row],[Precio de Venta Cliente ($/Unid)]]</f>
        <v>410.15999999999997</v>
      </c>
      <c r="S657" s="29"/>
      <c r="T657" s="106" t="s">
        <v>36</v>
      </c>
      <c r="U657" s="106"/>
      <c r="V657" s="30" t="s">
        <v>42</v>
      </c>
      <c r="W657" s="32" t="s">
        <v>42</v>
      </c>
      <c r="X657" s="22" t="s">
        <v>23</v>
      </c>
      <c r="Y657" s="22" t="s">
        <v>23</v>
      </c>
      <c r="Z657" s="22" t="s">
        <v>50</v>
      </c>
      <c r="AA657" s="106"/>
    </row>
    <row r="658" spans="2:27" x14ac:dyDescent="0.25">
      <c r="B658" s="23"/>
      <c r="C658" s="174" t="str">
        <f>TEXT(data[[#This Row],[Fecha de Envío
Cotización]],"MMMM")</f>
        <v>abril</v>
      </c>
      <c r="D658" s="23">
        <v>44300</v>
      </c>
      <c r="E658" s="174" t="str">
        <f>IF(data[[#This Row],[Estatus de 
Cotización]]="PERDIDO","N/A","")</f>
        <v>N/A</v>
      </c>
      <c r="F658" s="23"/>
      <c r="G658" s="109"/>
      <c r="H658" s="23"/>
      <c r="I658" s="86">
        <v>511857</v>
      </c>
      <c r="J658" s="87">
        <v>20212</v>
      </c>
      <c r="K658" s="24" t="s">
        <v>126</v>
      </c>
      <c r="L658" s="106"/>
      <c r="M658" s="8" t="s">
        <v>764</v>
      </c>
      <c r="N658" s="22">
        <v>12</v>
      </c>
      <c r="O658" s="26"/>
      <c r="P658" s="27">
        <v>34.18</v>
      </c>
      <c r="Q658" s="28">
        <f>data[[#This Row],[Costo Producto
Proveedor ($/Unid)]]*data[[#This Row],[Cantidad]]</f>
        <v>0</v>
      </c>
      <c r="R658" s="28">
        <f>data[[#This Row],[Cantidad]]*data[[#This Row],[Precio de Venta Cliente ($/Unid)]]</f>
        <v>410.15999999999997</v>
      </c>
      <c r="S658" s="29"/>
      <c r="T658" s="106" t="s">
        <v>36</v>
      </c>
      <c r="U658" s="106"/>
      <c r="V658" s="30" t="s">
        <v>42</v>
      </c>
      <c r="W658" s="32" t="s">
        <v>42</v>
      </c>
      <c r="X658" s="22" t="s">
        <v>23</v>
      </c>
      <c r="Y658" s="22" t="s">
        <v>23</v>
      </c>
      <c r="Z658" s="22" t="s">
        <v>50</v>
      </c>
      <c r="AA658" s="106"/>
    </row>
    <row r="659" spans="2:27" x14ac:dyDescent="0.25">
      <c r="B659" s="23"/>
      <c r="C659" s="174" t="str">
        <f>TEXT(data[[#This Row],[Fecha de Envío
Cotización]],"MMMM")</f>
        <v>abril</v>
      </c>
      <c r="D659" s="23">
        <v>44301</v>
      </c>
      <c r="E659" s="174">
        <v>44306</v>
      </c>
      <c r="F659" s="23">
        <v>44307</v>
      </c>
      <c r="G659" s="109">
        <v>14600</v>
      </c>
      <c r="H659" s="23">
        <v>44307</v>
      </c>
      <c r="I659" s="86">
        <v>511867</v>
      </c>
      <c r="J659" s="87">
        <v>20215</v>
      </c>
      <c r="K659" s="24" t="s">
        <v>123</v>
      </c>
      <c r="L659" s="22"/>
      <c r="M659" s="108" t="s">
        <v>770</v>
      </c>
      <c r="N659" s="22">
        <v>1</v>
      </c>
      <c r="O659" s="26"/>
      <c r="P659" s="27">
        <v>350</v>
      </c>
      <c r="Q659" s="28">
        <f>data[[#This Row],[Costo Producto
Proveedor ($/Unid)]]*data[[#This Row],[Cantidad]]</f>
        <v>0</v>
      </c>
      <c r="R659" s="121">
        <f>data[[#This Row],[Cantidad]]*data[[#This Row],[Precio de Venta Cliente ($/Unid)]]</f>
        <v>350</v>
      </c>
      <c r="S659" s="29"/>
      <c r="T659" s="51" t="s">
        <v>22</v>
      </c>
      <c r="U659" s="51"/>
      <c r="V659" s="30" t="s">
        <v>44</v>
      </c>
      <c r="W659" s="32" t="s">
        <v>44</v>
      </c>
      <c r="X659" s="22" t="s">
        <v>45</v>
      </c>
      <c r="Y659" s="22" t="s">
        <v>47</v>
      </c>
      <c r="Z659" s="22" t="s">
        <v>50</v>
      </c>
      <c r="AA659" s="106"/>
    </row>
    <row r="660" spans="2:27" x14ac:dyDescent="0.25">
      <c r="B660" s="23"/>
      <c r="C660" s="174" t="str">
        <f>TEXT(data[[#This Row],[Fecha de Envío
Cotización]],"MMMM")</f>
        <v>abril</v>
      </c>
      <c r="D660" s="23">
        <v>44302</v>
      </c>
      <c r="E660" s="174" t="str">
        <f>IF(data[[#This Row],[Estatus de 
Cotización]]="PERDIDO","N/A","")</f>
        <v>N/A</v>
      </c>
      <c r="F660" s="23"/>
      <c r="G660" s="109"/>
      <c r="H660" s="23"/>
      <c r="I660" s="86">
        <v>511886</v>
      </c>
      <c r="J660" s="87">
        <v>1501</v>
      </c>
      <c r="K660" s="24" t="s">
        <v>109</v>
      </c>
      <c r="L660" s="22"/>
      <c r="M660" s="105" t="s">
        <v>771</v>
      </c>
      <c r="N660" s="22">
        <v>1</v>
      </c>
      <c r="O660" s="26"/>
      <c r="P660" s="27">
        <v>3691.74</v>
      </c>
      <c r="Q660" s="28">
        <f>data[[#This Row],[Costo Producto
Proveedor ($/Unid)]]*data[[#This Row],[Cantidad]]</f>
        <v>0</v>
      </c>
      <c r="R660" s="28">
        <f>data[[#This Row],[Cantidad]]*data[[#This Row],[Precio de Venta Cliente ($/Unid)]]</f>
        <v>3691.74</v>
      </c>
      <c r="S660" s="29"/>
      <c r="T660" s="51" t="s">
        <v>51</v>
      </c>
      <c r="U660" s="51"/>
      <c r="V660" s="30" t="s">
        <v>42</v>
      </c>
      <c r="W660" s="32" t="s">
        <v>42</v>
      </c>
      <c r="X660" s="22" t="s">
        <v>23</v>
      </c>
      <c r="Y660" s="22" t="s">
        <v>23</v>
      </c>
      <c r="Z660" s="22" t="s">
        <v>50</v>
      </c>
      <c r="AA660" s="106"/>
    </row>
    <row r="661" spans="2:27" x14ac:dyDescent="0.25">
      <c r="B661" s="23"/>
      <c r="C661" s="174" t="str">
        <f>TEXT(data[[#This Row],[Fecha de Envío
Cotización]],"MMMM")</f>
        <v>abril</v>
      </c>
      <c r="D661" s="23">
        <v>44302</v>
      </c>
      <c r="E661" s="174" t="str">
        <f>IF(data[[#This Row],[Estatus de 
Cotización]]="PERDIDO","N/A","")</f>
        <v>N/A</v>
      </c>
      <c r="F661" s="23"/>
      <c r="G661" s="109"/>
      <c r="H661" s="23"/>
      <c r="I661" s="86">
        <v>511887</v>
      </c>
      <c r="J661" s="87">
        <v>1502</v>
      </c>
      <c r="K661" s="24" t="s">
        <v>109</v>
      </c>
      <c r="L661" s="22"/>
      <c r="M661" s="108" t="s">
        <v>772</v>
      </c>
      <c r="N661" s="22">
        <v>50</v>
      </c>
      <c r="O661" s="26"/>
      <c r="P661" s="27">
        <v>16.39</v>
      </c>
      <c r="Q661" s="28">
        <f>data[[#This Row],[Costo Producto
Proveedor ($/Unid)]]*data[[#This Row],[Cantidad]]</f>
        <v>0</v>
      </c>
      <c r="R661" s="28">
        <f>data[[#This Row],[Cantidad]]*data[[#This Row],[Precio de Venta Cliente ($/Unid)]]</f>
        <v>819.5</v>
      </c>
      <c r="S661" s="29"/>
      <c r="T661" s="106" t="s">
        <v>51</v>
      </c>
      <c r="U661" s="51"/>
      <c r="V661" s="30" t="s">
        <v>42</v>
      </c>
      <c r="W661" s="32" t="s">
        <v>42</v>
      </c>
      <c r="X661" s="22" t="s">
        <v>23</v>
      </c>
      <c r="Y661" s="22" t="s">
        <v>23</v>
      </c>
      <c r="Z661" s="22" t="s">
        <v>50</v>
      </c>
      <c r="AA661" s="106"/>
    </row>
    <row r="662" spans="2:27" x14ac:dyDescent="0.25">
      <c r="B662" s="23"/>
      <c r="C662" s="174" t="str">
        <f>TEXT(data[[#This Row],[Fecha de Envío
Cotización]],"MMMM")</f>
        <v>abril</v>
      </c>
      <c r="D662" s="23">
        <v>44302</v>
      </c>
      <c r="E662" s="174" t="str">
        <f>IF(data[[#This Row],[Estatus de 
Cotización]]="PERDIDO","N/A","")</f>
        <v>N/A</v>
      </c>
      <c r="F662" s="23"/>
      <c r="G662" s="109"/>
      <c r="H662" s="23"/>
      <c r="I662" s="86">
        <v>511888</v>
      </c>
      <c r="J662" s="87">
        <v>1502</v>
      </c>
      <c r="K662" s="24" t="s">
        <v>109</v>
      </c>
      <c r="L662" s="22"/>
      <c r="M662" s="108" t="s">
        <v>773</v>
      </c>
      <c r="N662" s="22">
        <v>6</v>
      </c>
      <c r="O662" s="26"/>
      <c r="P662" s="27">
        <v>18.38</v>
      </c>
      <c r="Q662" s="28">
        <f>data[[#This Row],[Costo Producto
Proveedor ($/Unid)]]*data[[#This Row],[Cantidad]]</f>
        <v>0</v>
      </c>
      <c r="R662" s="28">
        <f>data[[#This Row],[Cantidad]]*data[[#This Row],[Precio de Venta Cliente ($/Unid)]]</f>
        <v>110.28</v>
      </c>
      <c r="S662" s="29"/>
      <c r="T662" s="39" t="s">
        <v>51</v>
      </c>
      <c r="U662" s="39"/>
      <c r="V662" s="30" t="s">
        <v>42</v>
      </c>
      <c r="W662" s="32" t="s">
        <v>42</v>
      </c>
      <c r="X662" s="22" t="s">
        <v>23</v>
      </c>
      <c r="Y662" s="22" t="s">
        <v>23</v>
      </c>
      <c r="Z662" s="22" t="s">
        <v>50</v>
      </c>
      <c r="AA662" s="106"/>
    </row>
    <row r="663" spans="2:27" x14ac:dyDescent="0.25">
      <c r="B663" s="174"/>
      <c r="C663" s="174" t="str">
        <f>TEXT(data[[#This Row],[Fecha de Envío
Cotización]],"MMMM")</f>
        <v>abril</v>
      </c>
      <c r="D663" s="174">
        <v>44302</v>
      </c>
      <c r="E663" s="174" t="str">
        <f>IF(data[[#This Row],[Estatus de 
Cotización]]="PERDIDO","N/A","")</f>
        <v>N/A</v>
      </c>
      <c r="F663" s="174"/>
      <c r="G663" s="109"/>
      <c r="H663" s="174"/>
      <c r="I663" s="86">
        <v>511889</v>
      </c>
      <c r="J663" s="87">
        <v>1504</v>
      </c>
      <c r="K663" s="24" t="s">
        <v>109</v>
      </c>
      <c r="L663" s="106"/>
      <c r="M663" s="108" t="s">
        <v>774</v>
      </c>
      <c r="N663" s="106">
        <v>10</v>
      </c>
      <c r="O663" s="107"/>
      <c r="P663" s="27">
        <v>95.22</v>
      </c>
      <c r="Q663" s="28">
        <f>data[[#This Row],[Costo Producto
Proveedor ($/Unid)]]*data[[#This Row],[Cantidad]]</f>
        <v>0</v>
      </c>
      <c r="R663" s="28">
        <f>data[[#This Row],[Cantidad]]*data[[#This Row],[Precio de Venta Cliente ($/Unid)]]</f>
        <v>952.2</v>
      </c>
      <c r="S663" s="29"/>
      <c r="T663" s="106" t="s">
        <v>51</v>
      </c>
      <c r="U663" s="106"/>
      <c r="V663" s="30" t="s">
        <v>42</v>
      </c>
      <c r="W663" s="32" t="s">
        <v>42</v>
      </c>
      <c r="X663" s="106" t="s">
        <v>23</v>
      </c>
      <c r="Y663" s="106" t="s">
        <v>23</v>
      </c>
      <c r="Z663" s="106" t="s">
        <v>50</v>
      </c>
      <c r="AA663" s="106"/>
    </row>
    <row r="664" spans="2:27" x14ac:dyDescent="0.25">
      <c r="B664" s="174"/>
      <c r="C664" s="174" t="str">
        <f>TEXT(data[[#This Row],[Fecha de Envío
Cotización]],"MMMM")</f>
        <v>abril</v>
      </c>
      <c r="D664" s="174">
        <v>44306</v>
      </c>
      <c r="E664" s="174" t="str">
        <f>IF(data[[#This Row],[Estatus de 
Cotización]]="PERDIDO","N/A","")</f>
        <v>N/A</v>
      </c>
      <c r="F664" s="174"/>
      <c r="G664" s="109"/>
      <c r="H664" s="174"/>
      <c r="I664" s="86">
        <v>511899</v>
      </c>
      <c r="J664" s="87">
        <v>1506</v>
      </c>
      <c r="K664" s="24" t="s">
        <v>109</v>
      </c>
      <c r="L664" s="106"/>
      <c r="M664" s="108" t="s">
        <v>775</v>
      </c>
      <c r="N664" s="106">
        <v>2</v>
      </c>
      <c r="O664" s="107"/>
      <c r="P664" s="27">
        <v>1147.08</v>
      </c>
      <c r="Q664" s="28">
        <f>data[[#This Row],[Costo Producto
Proveedor ($/Unid)]]*data[[#This Row],[Cantidad]]</f>
        <v>0</v>
      </c>
      <c r="R664" s="28">
        <f>data[[#This Row],[Cantidad]]*data[[#This Row],[Precio de Venta Cliente ($/Unid)]]</f>
        <v>2294.16</v>
      </c>
      <c r="S664" s="29"/>
      <c r="T664" s="106" t="s">
        <v>134</v>
      </c>
      <c r="U664" s="106"/>
      <c r="V664" s="30" t="s">
        <v>42</v>
      </c>
      <c r="W664" s="32" t="s">
        <v>42</v>
      </c>
      <c r="X664" s="106" t="s">
        <v>23</v>
      </c>
      <c r="Y664" s="106" t="s">
        <v>23</v>
      </c>
      <c r="Z664" s="106" t="s">
        <v>50</v>
      </c>
      <c r="AA664" s="106"/>
    </row>
    <row r="665" spans="2:27" x14ac:dyDescent="0.25">
      <c r="B665" s="174"/>
      <c r="C665" s="174" t="str">
        <f>TEXT(data[[#This Row],[Fecha de Envío
Cotización]],"MMMM")</f>
        <v>abril</v>
      </c>
      <c r="D665" s="174">
        <v>44306</v>
      </c>
      <c r="E665" s="174" t="str">
        <f>IF(data[[#This Row],[Estatus de 
Cotización]]="PERDIDO","N/A","")</f>
        <v>N/A</v>
      </c>
      <c r="F665" s="174"/>
      <c r="G665" s="109"/>
      <c r="H665" s="174"/>
      <c r="I665" s="86">
        <v>511900</v>
      </c>
      <c r="J665" s="87">
        <v>1507</v>
      </c>
      <c r="K665" s="24" t="s">
        <v>109</v>
      </c>
      <c r="L665" s="106"/>
      <c r="M665" s="108" t="s">
        <v>776</v>
      </c>
      <c r="N665" s="106">
        <v>1</v>
      </c>
      <c r="O665" s="107"/>
      <c r="P665" s="27">
        <v>264.75</v>
      </c>
      <c r="Q665" s="28">
        <f>data[[#This Row],[Costo Producto
Proveedor ($/Unid)]]*data[[#This Row],[Cantidad]]</f>
        <v>0</v>
      </c>
      <c r="R665" s="28">
        <f>data[[#This Row],[Cantidad]]*data[[#This Row],[Precio de Venta Cliente ($/Unid)]]</f>
        <v>264.75</v>
      </c>
      <c r="S665" s="29"/>
      <c r="T665" s="106" t="s">
        <v>119</v>
      </c>
      <c r="U665" s="106"/>
      <c r="V665" s="30" t="s">
        <v>42</v>
      </c>
      <c r="W665" s="32" t="s">
        <v>42</v>
      </c>
      <c r="X665" s="106" t="s">
        <v>23</v>
      </c>
      <c r="Y665" s="106" t="s">
        <v>23</v>
      </c>
      <c r="Z665" s="106" t="s">
        <v>50</v>
      </c>
      <c r="AA665" s="106"/>
    </row>
    <row r="666" spans="2:27" x14ac:dyDescent="0.25">
      <c r="B666" s="23"/>
      <c r="C666" s="174" t="str">
        <f>TEXT(data[[#This Row],[Fecha de Envío
Cotización]],"MMMM")</f>
        <v>abril</v>
      </c>
      <c r="D666" s="174">
        <v>44307</v>
      </c>
      <c r="E666" s="174" t="str">
        <f>IF(data[[#This Row],[Estatus de 
Cotización]]="PERDIDO","N/A","")</f>
        <v>N/A</v>
      </c>
      <c r="F666" s="23"/>
      <c r="G666" s="109"/>
      <c r="H666" s="23"/>
      <c r="I666" s="86">
        <v>511913</v>
      </c>
      <c r="J666" s="87">
        <v>1508</v>
      </c>
      <c r="K666" s="24" t="s">
        <v>33</v>
      </c>
      <c r="L666" s="22"/>
      <c r="M666" s="108" t="s">
        <v>777</v>
      </c>
      <c r="N666" s="22">
        <v>2</v>
      </c>
      <c r="O666" s="26"/>
      <c r="P666" s="27">
        <v>2822.63</v>
      </c>
      <c r="Q666" s="28">
        <f>data[[#This Row],[Costo Producto
Proveedor ($/Unid)]]*data[[#This Row],[Cantidad]]</f>
        <v>0</v>
      </c>
      <c r="R666" s="28">
        <f>data[[#This Row],[Cantidad]]*data[[#This Row],[Precio de Venta Cliente ($/Unid)]]</f>
        <v>5645.26</v>
      </c>
      <c r="S666" s="29"/>
      <c r="T666" s="106" t="s">
        <v>419</v>
      </c>
      <c r="U666" s="106"/>
      <c r="V666" s="30" t="s">
        <v>42</v>
      </c>
      <c r="W666" s="32" t="s">
        <v>42</v>
      </c>
      <c r="X666" s="22" t="s">
        <v>23</v>
      </c>
      <c r="Y666" s="22" t="s">
        <v>23</v>
      </c>
      <c r="Z666" s="22" t="s">
        <v>50</v>
      </c>
      <c r="AA666" s="106"/>
    </row>
    <row r="667" spans="2:27" x14ac:dyDescent="0.25">
      <c r="B667" s="23"/>
      <c r="C667" s="174" t="str">
        <f>TEXT(data[[#This Row],[Fecha de Envío
Cotización]],"MMMM")</f>
        <v>abril</v>
      </c>
      <c r="D667" s="174">
        <v>44308</v>
      </c>
      <c r="E667" s="174" t="str">
        <f>IF(data[[#This Row],[Estatus de 
Cotización]]="PERDIDO","N/A","")</f>
        <v>N/A</v>
      </c>
      <c r="F667" s="23"/>
      <c r="G667" s="109"/>
      <c r="H667" s="23"/>
      <c r="I667" s="86">
        <v>511920</v>
      </c>
      <c r="J667" s="87">
        <v>1510</v>
      </c>
      <c r="K667" s="24" t="s">
        <v>123</v>
      </c>
      <c r="L667" s="22"/>
      <c r="M667" s="108" t="s">
        <v>854</v>
      </c>
      <c r="N667" s="22">
        <v>1</v>
      </c>
      <c r="O667" s="26"/>
      <c r="P667" s="107">
        <v>720</v>
      </c>
      <c r="Q667" s="28">
        <f>data[[#This Row],[Costo Producto
Proveedor ($/Unid)]]*data[[#This Row],[Cantidad]]</f>
        <v>0</v>
      </c>
      <c r="R667" s="28">
        <f>data[[#This Row],[Cantidad]]*data[[#This Row],[Precio de Venta Cliente ($/Unid)]]</f>
        <v>720</v>
      </c>
      <c r="S667" s="29"/>
      <c r="T667" s="106" t="s">
        <v>51</v>
      </c>
      <c r="U667" s="106"/>
      <c r="V667" s="30" t="s">
        <v>42</v>
      </c>
      <c r="W667" s="32" t="s">
        <v>42</v>
      </c>
      <c r="X667" s="22" t="s">
        <v>23</v>
      </c>
      <c r="Y667" s="22" t="s">
        <v>23</v>
      </c>
      <c r="Z667" s="22" t="s">
        <v>50</v>
      </c>
      <c r="AA667" s="106"/>
    </row>
    <row r="668" spans="2:27" x14ac:dyDescent="0.25">
      <c r="B668" s="174"/>
      <c r="C668" s="174" t="str">
        <f>TEXT(data[[#This Row],[Fecha de Envío
Cotización]],"MMMM")</f>
        <v>abril</v>
      </c>
      <c r="D668" s="174">
        <v>44308</v>
      </c>
      <c r="E668" s="174" t="str">
        <f>IF(data[[#This Row],[Estatus de 
Cotización]]="PERDIDO","N/A","")</f>
        <v>N/A</v>
      </c>
      <c r="F668" s="174"/>
      <c r="G668" s="109"/>
      <c r="H668" s="174"/>
      <c r="I668" s="86">
        <v>511921</v>
      </c>
      <c r="J668" s="87">
        <v>1511</v>
      </c>
      <c r="K668" s="24" t="s">
        <v>90</v>
      </c>
      <c r="L668" s="106"/>
      <c r="M668" s="108" t="s">
        <v>855</v>
      </c>
      <c r="N668" s="106">
        <v>12</v>
      </c>
      <c r="O668" s="107"/>
      <c r="P668" s="107">
        <v>39.090000000000003</v>
      </c>
      <c r="Q668" s="28">
        <f>data[[#This Row],[Costo Producto
Proveedor ($/Unid)]]*data[[#This Row],[Cantidad]]</f>
        <v>0</v>
      </c>
      <c r="R668" s="28">
        <f>data[[#This Row],[Cantidad]]*data[[#This Row],[Precio de Venta Cliente ($/Unid)]]</f>
        <v>469.08000000000004</v>
      </c>
      <c r="S668" s="29"/>
      <c r="T668" s="106" t="s">
        <v>419</v>
      </c>
      <c r="U668" s="106"/>
      <c r="V668" s="30" t="s">
        <v>42</v>
      </c>
      <c r="W668" s="32" t="s">
        <v>42</v>
      </c>
      <c r="X668" s="106" t="s">
        <v>23</v>
      </c>
      <c r="Y668" s="106" t="s">
        <v>23</v>
      </c>
      <c r="Z668" s="106" t="s">
        <v>50</v>
      </c>
      <c r="AA668" s="106"/>
    </row>
    <row r="669" spans="2:27" x14ac:dyDescent="0.25">
      <c r="B669" s="23"/>
      <c r="C669" s="174" t="str">
        <f>TEXT(data[[#This Row],[Fecha de Envío
Cotización]],"MMMM")</f>
        <v>abril</v>
      </c>
      <c r="D669" s="174">
        <v>44308</v>
      </c>
      <c r="E669" s="174" t="str">
        <f>IF(data[[#This Row],[Estatus de 
Cotización]]="PERDIDO","N/A","")</f>
        <v>N/A</v>
      </c>
      <c r="F669" s="23"/>
      <c r="G669" s="109"/>
      <c r="H669" s="23"/>
      <c r="I669" s="86">
        <v>511922</v>
      </c>
      <c r="J669" s="87">
        <v>1512</v>
      </c>
      <c r="K669" s="24" t="s">
        <v>33</v>
      </c>
      <c r="L669" s="106"/>
      <c r="M669" s="108" t="s">
        <v>856</v>
      </c>
      <c r="N669" s="22">
        <v>2</v>
      </c>
      <c r="O669" s="26"/>
      <c r="P669" s="107">
        <v>1016.59</v>
      </c>
      <c r="Q669" s="28">
        <f>data[[#This Row],[Costo Producto
Proveedor ($/Unid)]]*data[[#This Row],[Cantidad]]</f>
        <v>0</v>
      </c>
      <c r="R669" s="28">
        <f>data[[#This Row],[Cantidad]]*data[[#This Row],[Precio de Venta Cliente ($/Unid)]]</f>
        <v>2033.18</v>
      </c>
      <c r="S669" s="29"/>
      <c r="T669" s="106" t="s">
        <v>119</v>
      </c>
      <c r="U669" s="106"/>
      <c r="V669" s="30" t="s">
        <v>42</v>
      </c>
      <c r="W669" s="32" t="s">
        <v>42</v>
      </c>
      <c r="X669" s="22" t="s">
        <v>23</v>
      </c>
      <c r="Y669" s="22" t="s">
        <v>23</v>
      </c>
      <c r="Z669" s="22" t="s">
        <v>50</v>
      </c>
      <c r="AA669" s="106"/>
    </row>
    <row r="670" spans="2:27" x14ac:dyDescent="0.25">
      <c r="B670" s="23"/>
      <c r="C670" s="174" t="str">
        <f>TEXT(data[[#This Row],[Fecha de Envío
Cotización]],"MMMM")</f>
        <v>abril</v>
      </c>
      <c r="D670" s="174">
        <v>44309</v>
      </c>
      <c r="E670" s="174" t="str">
        <f>IF(data[[#This Row],[Estatus de 
Cotización]]="PERDIDO","N/A","")</f>
        <v>N/A</v>
      </c>
      <c r="F670" s="23"/>
      <c r="G670" s="109"/>
      <c r="H670" s="23"/>
      <c r="I670" s="86">
        <v>511972</v>
      </c>
      <c r="J670" s="87">
        <v>1513</v>
      </c>
      <c r="K670" s="24" t="s">
        <v>123</v>
      </c>
      <c r="L670" s="22"/>
      <c r="M670" s="108" t="s">
        <v>858</v>
      </c>
      <c r="N670" s="22">
        <v>1</v>
      </c>
      <c r="O670" s="26"/>
      <c r="P670" s="107">
        <v>4566.33</v>
      </c>
      <c r="Q670" s="28">
        <f>data[[#This Row],[Costo Producto
Proveedor ($/Unid)]]*data[[#This Row],[Cantidad]]</f>
        <v>0</v>
      </c>
      <c r="R670" s="119">
        <f>data[[#This Row],[Cantidad]]*data[[#This Row],[Precio de Venta Cliente ($/Unid)]]</f>
        <v>4566.33</v>
      </c>
      <c r="S670" s="29"/>
      <c r="T670" s="22" t="s">
        <v>420</v>
      </c>
      <c r="U670" s="22"/>
      <c r="V670" s="30" t="s">
        <v>42</v>
      </c>
      <c r="W670" s="32" t="s">
        <v>42</v>
      </c>
      <c r="X670" s="22" t="s">
        <v>23</v>
      </c>
      <c r="Y670" s="22" t="s">
        <v>23</v>
      </c>
      <c r="Z670" s="22" t="s">
        <v>50</v>
      </c>
      <c r="AA670" s="106"/>
    </row>
    <row r="671" spans="2:27" x14ac:dyDescent="0.25">
      <c r="B671" s="23"/>
      <c r="C671" s="174" t="str">
        <f>TEXT(data[[#This Row],[Fecha de Envío
Cotización]],"MMMM")</f>
        <v>abril</v>
      </c>
      <c r="D671" s="174">
        <v>44309</v>
      </c>
      <c r="E671" s="174" t="str">
        <f>IF(data[[#This Row],[Estatus de 
Cotización]]="PERDIDO","N/A","")</f>
        <v>N/A</v>
      </c>
      <c r="F671" s="23"/>
      <c r="G671" s="109"/>
      <c r="H671" s="23"/>
      <c r="I671" s="86">
        <v>511971</v>
      </c>
      <c r="J671" s="87">
        <v>1513</v>
      </c>
      <c r="K671" s="24" t="s">
        <v>33</v>
      </c>
      <c r="L671" s="22"/>
      <c r="M671" s="108" t="s">
        <v>857</v>
      </c>
      <c r="N671" s="22">
        <v>1</v>
      </c>
      <c r="O671" s="26"/>
      <c r="P671" s="107">
        <v>1497.27</v>
      </c>
      <c r="Q671" s="28">
        <f>data[[#This Row],[Costo Producto
Proveedor ($/Unid)]]*data[[#This Row],[Cantidad]]</f>
        <v>0</v>
      </c>
      <c r="R671" s="28">
        <f>data[[#This Row],[Cantidad]]*data[[#This Row],[Precio de Venta Cliente ($/Unid)]]</f>
        <v>1497.27</v>
      </c>
      <c r="S671" s="29"/>
      <c r="T671" s="22" t="s">
        <v>134</v>
      </c>
      <c r="U671" s="22"/>
      <c r="V671" s="30" t="s">
        <v>42</v>
      </c>
      <c r="W671" s="32" t="s">
        <v>42</v>
      </c>
      <c r="X671" s="22" t="s">
        <v>23</v>
      </c>
      <c r="Y671" s="22" t="s">
        <v>23</v>
      </c>
      <c r="Z671" s="22" t="s">
        <v>50</v>
      </c>
      <c r="AA671" s="106"/>
    </row>
    <row r="672" spans="2:27" x14ac:dyDescent="0.25">
      <c r="B672" s="23"/>
      <c r="C672" s="174" t="str">
        <f>TEXT(data[[#This Row],[Fecha de Envío
Cotización]],"MMMM")</f>
        <v>abril</v>
      </c>
      <c r="D672" s="174">
        <v>44309</v>
      </c>
      <c r="E672" s="174" t="str">
        <f>IF(data[[#This Row],[Estatus de 
Cotización]]="PERDIDO","N/A","")</f>
        <v>N/A</v>
      </c>
      <c r="F672" s="23"/>
      <c r="G672" s="109"/>
      <c r="H672" s="23"/>
      <c r="I672" s="86">
        <v>511973</v>
      </c>
      <c r="J672" s="87">
        <v>1513</v>
      </c>
      <c r="K672" s="24" t="s">
        <v>123</v>
      </c>
      <c r="L672" s="22"/>
      <c r="M672" s="108" t="s">
        <v>859</v>
      </c>
      <c r="N672" s="22">
        <v>6</v>
      </c>
      <c r="O672" s="26"/>
      <c r="P672" s="107">
        <v>15.6</v>
      </c>
      <c r="Q672" s="28">
        <f>data[[#This Row],[Costo Producto
Proveedor ($/Unid)]]*data[[#This Row],[Cantidad]]</f>
        <v>0</v>
      </c>
      <c r="R672" s="28">
        <f>data[[#This Row],[Cantidad]]*data[[#This Row],[Precio de Venta Cliente ($/Unid)]]</f>
        <v>93.6</v>
      </c>
      <c r="S672" s="29"/>
      <c r="T672" s="22" t="s">
        <v>134</v>
      </c>
      <c r="U672" s="22"/>
      <c r="V672" s="30" t="s">
        <v>42</v>
      </c>
      <c r="W672" s="32" t="s">
        <v>42</v>
      </c>
      <c r="X672" s="22" t="s">
        <v>23</v>
      </c>
      <c r="Y672" s="22" t="s">
        <v>23</v>
      </c>
      <c r="Z672" s="22" t="s">
        <v>50</v>
      </c>
      <c r="AA672" s="106"/>
    </row>
    <row r="673" spans="2:27" x14ac:dyDescent="0.25">
      <c r="B673" s="23"/>
      <c r="C673" s="174" t="str">
        <f>TEXT(data[[#This Row],[Fecha de Envío
Cotización]],"MMMM")</f>
        <v>abril</v>
      </c>
      <c r="D673" s="174">
        <v>44309</v>
      </c>
      <c r="E673" s="174" t="str">
        <f>IF(data[[#This Row],[Estatus de 
Cotización]]="PERDIDO","N/A","")</f>
        <v>N/A</v>
      </c>
      <c r="F673" s="23"/>
      <c r="G673" s="109"/>
      <c r="H673" s="23"/>
      <c r="I673" s="86">
        <v>511974</v>
      </c>
      <c r="J673" s="87">
        <v>1513</v>
      </c>
      <c r="K673" s="24" t="s">
        <v>123</v>
      </c>
      <c r="L673" s="22"/>
      <c r="M673" s="108" t="s">
        <v>860</v>
      </c>
      <c r="N673" s="22">
        <v>6</v>
      </c>
      <c r="O673" s="26"/>
      <c r="P673" s="107">
        <v>17.27</v>
      </c>
      <c r="Q673" s="28">
        <f>data[[#This Row],[Costo Producto
Proveedor ($/Unid)]]*data[[#This Row],[Cantidad]]</f>
        <v>0</v>
      </c>
      <c r="R673" s="28">
        <f>data[[#This Row],[Cantidad]]*data[[#This Row],[Precio de Venta Cliente ($/Unid)]]</f>
        <v>103.62</v>
      </c>
      <c r="S673" s="29"/>
      <c r="T673" s="22" t="s">
        <v>134</v>
      </c>
      <c r="U673" s="22"/>
      <c r="V673" s="30" t="s">
        <v>42</v>
      </c>
      <c r="W673" s="32" t="s">
        <v>42</v>
      </c>
      <c r="X673" s="22" t="s">
        <v>23</v>
      </c>
      <c r="Y673" s="22" t="s">
        <v>23</v>
      </c>
      <c r="Z673" s="22" t="s">
        <v>50</v>
      </c>
      <c r="AA673" s="106"/>
    </row>
    <row r="674" spans="2:27" x14ac:dyDescent="0.25">
      <c r="B674" s="174"/>
      <c r="C674" s="174" t="str">
        <f>TEXT(data[[#This Row],[Fecha de Envío
Cotización]],"MMMM")</f>
        <v>abril</v>
      </c>
      <c r="D674" s="174">
        <v>44309</v>
      </c>
      <c r="E674" s="174" t="str">
        <f>IF(data[[#This Row],[Estatus de 
Cotización]]="PERDIDO","N/A","")</f>
        <v>N/A</v>
      </c>
      <c r="F674" s="174"/>
      <c r="G674" s="109"/>
      <c r="H674" s="174"/>
      <c r="I674" s="86">
        <v>511975</v>
      </c>
      <c r="J674" s="87">
        <v>1513</v>
      </c>
      <c r="K674" s="24" t="s">
        <v>123</v>
      </c>
      <c r="L674" s="106"/>
      <c r="M674" s="108" t="s">
        <v>861</v>
      </c>
      <c r="N674" s="106">
        <v>4</v>
      </c>
      <c r="O674" s="107"/>
      <c r="P674" s="107">
        <v>293.37</v>
      </c>
      <c r="Q674" s="28">
        <f>data[[#This Row],[Costo Producto
Proveedor ($/Unid)]]*data[[#This Row],[Cantidad]]</f>
        <v>0</v>
      </c>
      <c r="R674" s="28">
        <f>data[[#This Row],[Cantidad]]*data[[#This Row],[Precio de Venta Cliente ($/Unid)]]</f>
        <v>1173.48</v>
      </c>
      <c r="S674" s="29"/>
      <c r="T674" s="106" t="s">
        <v>134</v>
      </c>
      <c r="U674" s="106"/>
      <c r="V674" s="30" t="s">
        <v>42</v>
      </c>
      <c r="W674" s="32" t="s">
        <v>42</v>
      </c>
      <c r="X674" s="106" t="s">
        <v>23</v>
      </c>
      <c r="Y674" s="106" t="s">
        <v>23</v>
      </c>
      <c r="Z674" s="106" t="s">
        <v>50</v>
      </c>
      <c r="AA674" s="106"/>
    </row>
    <row r="675" spans="2:27" s="10" customFormat="1" x14ac:dyDescent="0.25">
      <c r="B675" s="174"/>
      <c r="C675" s="174" t="str">
        <f>TEXT(data[[#This Row],[Fecha de Envío
Cotización]],"MMMM")</f>
        <v>abril</v>
      </c>
      <c r="D675" s="174">
        <v>44309</v>
      </c>
      <c r="E675" s="174" t="str">
        <f>IF(data[[#This Row],[Estatus de 
Cotización]]="PERDIDO","N/A","")</f>
        <v>N/A</v>
      </c>
      <c r="F675" s="174"/>
      <c r="G675" s="109"/>
      <c r="H675" s="174"/>
      <c r="I675" s="86">
        <v>511976</v>
      </c>
      <c r="J675" s="87">
        <v>1513</v>
      </c>
      <c r="K675" s="24" t="s">
        <v>123</v>
      </c>
      <c r="L675" s="106"/>
      <c r="M675" s="108" t="s">
        <v>862</v>
      </c>
      <c r="N675" s="106">
        <v>2</v>
      </c>
      <c r="O675" s="107"/>
      <c r="P675" s="107">
        <v>78.56</v>
      </c>
      <c r="Q675" s="28">
        <f>data[[#This Row],[Costo Producto
Proveedor ($/Unid)]]*data[[#This Row],[Cantidad]]</f>
        <v>0</v>
      </c>
      <c r="R675" s="28">
        <f>data[[#This Row],[Cantidad]]*data[[#This Row],[Precio de Venta Cliente ($/Unid)]]</f>
        <v>157.12</v>
      </c>
      <c r="S675" s="29"/>
      <c r="T675" s="106" t="s">
        <v>134</v>
      </c>
      <c r="U675" s="106"/>
      <c r="V675" s="30" t="s">
        <v>42</v>
      </c>
      <c r="W675" s="32" t="s">
        <v>42</v>
      </c>
      <c r="X675" s="106" t="s">
        <v>23</v>
      </c>
      <c r="Y675" s="106" t="s">
        <v>23</v>
      </c>
      <c r="Z675" s="106" t="s">
        <v>50</v>
      </c>
      <c r="AA675" s="106"/>
    </row>
    <row r="676" spans="2:27" s="50" customFormat="1" x14ac:dyDescent="0.25">
      <c r="B676" s="174"/>
      <c r="C676" s="174" t="str">
        <f>TEXT(data[[#This Row],[Fecha de Envío
Cotización]],"MMMM")</f>
        <v>abril</v>
      </c>
      <c r="D676" s="174">
        <v>44309</v>
      </c>
      <c r="E676" s="174" t="str">
        <f>IF(data[[#This Row],[Estatus de 
Cotización]]="PERDIDO","N/A","")</f>
        <v>N/A</v>
      </c>
      <c r="F676" s="174"/>
      <c r="G676" s="109"/>
      <c r="H676" s="174"/>
      <c r="I676" s="86">
        <v>511977</v>
      </c>
      <c r="J676" s="87">
        <v>1513</v>
      </c>
      <c r="K676" s="24" t="s">
        <v>123</v>
      </c>
      <c r="L676" s="106"/>
      <c r="M676" s="108" t="s">
        <v>863</v>
      </c>
      <c r="N676" s="106">
        <v>2</v>
      </c>
      <c r="O676" s="107"/>
      <c r="P676" s="107">
        <v>76.900000000000006</v>
      </c>
      <c r="Q676" s="28">
        <f>data[[#This Row],[Costo Producto
Proveedor ($/Unid)]]*data[[#This Row],[Cantidad]]</f>
        <v>0</v>
      </c>
      <c r="R676" s="28">
        <f>data[[#This Row],[Cantidad]]*data[[#This Row],[Precio de Venta Cliente ($/Unid)]]</f>
        <v>153.80000000000001</v>
      </c>
      <c r="S676" s="29"/>
      <c r="T676" s="106" t="s">
        <v>134</v>
      </c>
      <c r="U676" s="106"/>
      <c r="V676" s="30" t="s">
        <v>42</v>
      </c>
      <c r="W676" s="32" t="s">
        <v>42</v>
      </c>
      <c r="X676" s="106" t="s">
        <v>23</v>
      </c>
      <c r="Y676" s="106" t="s">
        <v>23</v>
      </c>
      <c r="Z676" s="106" t="s">
        <v>50</v>
      </c>
      <c r="AA676" s="106"/>
    </row>
    <row r="677" spans="2:27" s="105" customFormat="1" x14ac:dyDescent="0.25">
      <c r="B677" s="99"/>
      <c r="C677" s="174" t="str">
        <f>TEXT(data[[#This Row],[Fecha de Envío
Cotización]],"MMMM")</f>
        <v>abril</v>
      </c>
      <c r="D677" s="174">
        <v>44309</v>
      </c>
      <c r="E677" s="174" t="str">
        <f>IF(data[[#This Row],[Estatus de 
Cotización]]="PERDIDO","N/A","")</f>
        <v>N/A</v>
      </c>
      <c r="F677" s="99"/>
      <c r="G677" s="109"/>
      <c r="H677" s="99"/>
      <c r="I677" s="86">
        <v>511978</v>
      </c>
      <c r="J677" s="87">
        <v>1513</v>
      </c>
      <c r="K677" s="24" t="s">
        <v>123</v>
      </c>
      <c r="L677" s="106"/>
      <c r="M677" s="108" t="s">
        <v>864</v>
      </c>
      <c r="N677" s="106">
        <v>2</v>
      </c>
      <c r="O677" s="107"/>
      <c r="P677" s="107">
        <v>207.04</v>
      </c>
      <c r="Q677" s="28">
        <f>data[[#This Row],[Costo Producto
Proveedor ($/Unid)]]*data[[#This Row],[Cantidad]]</f>
        <v>0</v>
      </c>
      <c r="R677" s="28">
        <f>data[[#This Row],[Cantidad]]*data[[#This Row],[Precio de Venta Cliente ($/Unid)]]</f>
        <v>414.08</v>
      </c>
      <c r="S677" s="29"/>
      <c r="T677" s="106" t="s">
        <v>134</v>
      </c>
      <c r="U677" s="106"/>
      <c r="V677" s="30" t="s">
        <v>42</v>
      </c>
      <c r="W677" s="32" t="s">
        <v>42</v>
      </c>
      <c r="X677" s="106" t="s">
        <v>23</v>
      </c>
      <c r="Y677" s="106" t="s">
        <v>23</v>
      </c>
      <c r="Z677" s="106" t="s">
        <v>50</v>
      </c>
      <c r="AA677" s="106"/>
    </row>
    <row r="678" spans="2:27" s="10" customFormat="1" x14ac:dyDescent="0.25">
      <c r="B678" s="174"/>
      <c r="C678" s="174" t="str">
        <f>TEXT(data[[#This Row],[Fecha de Envío
Cotización]],"MMMM")</f>
        <v>abril</v>
      </c>
      <c r="D678" s="174">
        <v>44309</v>
      </c>
      <c r="E678" s="174" t="str">
        <f>IF(data[[#This Row],[Estatus de 
Cotización]]="PERDIDO","N/A","")</f>
        <v>N/A</v>
      </c>
      <c r="F678" s="174"/>
      <c r="G678" s="109"/>
      <c r="H678" s="174"/>
      <c r="I678" s="86">
        <v>511979</v>
      </c>
      <c r="J678" s="87">
        <v>1513</v>
      </c>
      <c r="K678" s="24" t="s">
        <v>123</v>
      </c>
      <c r="L678" s="106"/>
      <c r="M678" s="108" t="s">
        <v>865</v>
      </c>
      <c r="N678" s="106">
        <v>2</v>
      </c>
      <c r="O678" s="107"/>
      <c r="P678" s="107">
        <v>39.75</v>
      </c>
      <c r="Q678" s="28">
        <f>data[[#This Row],[Costo Producto
Proveedor ($/Unid)]]*data[[#This Row],[Cantidad]]</f>
        <v>0</v>
      </c>
      <c r="R678" s="28">
        <f>data[[#This Row],[Cantidad]]*data[[#This Row],[Precio de Venta Cliente ($/Unid)]]</f>
        <v>79.5</v>
      </c>
      <c r="S678" s="29"/>
      <c r="T678" s="106" t="s">
        <v>869</v>
      </c>
      <c r="U678" s="106"/>
      <c r="V678" s="30" t="s">
        <v>42</v>
      </c>
      <c r="W678" s="32" t="s">
        <v>42</v>
      </c>
      <c r="X678" s="106" t="s">
        <v>23</v>
      </c>
      <c r="Y678" s="106" t="s">
        <v>23</v>
      </c>
      <c r="Z678" s="106" t="s">
        <v>50</v>
      </c>
      <c r="AA678" s="106"/>
    </row>
    <row r="679" spans="2:27" s="10" customFormat="1" x14ac:dyDescent="0.25">
      <c r="B679" s="23"/>
      <c r="C679" s="174" t="str">
        <f>TEXT(data[[#This Row],[Fecha de Envío
Cotización]],"MMMM")</f>
        <v>abril</v>
      </c>
      <c r="D679" s="174">
        <v>44309</v>
      </c>
      <c r="E679" s="174" t="str">
        <f>IF(data[[#This Row],[Estatus de 
Cotización]]="PERDIDO","N/A","")</f>
        <v>N/A</v>
      </c>
      <c r="F679" s="23"/>
      <c r="G679" s="109"/>
      <c r="H679" s="23"/>
      <c r="I679" s="86">
        <v>511980</v>
      </c>
      <c r="J679" s="87">
        <v>1513</v>
      </c>
      <c r="K679" s="24" t="s">
        <v>123</v>
      </c>
      <c r="L679" s="22"/>
      <c r="M679" s="108" t="s">
        <v>866</v>
      </c>
      <c r="N679" s="22">
        <v>2</v>
      </c>
      <c r="O679" s="26"/>
      <c r="P679" s="107">
        <v>47.14</v>
      </c>
      <c r="Q679" s="28">
        <f>data[[#This Row],[Costo Producto
Proveedor ($/Unid)]]*data[[#This Row],[Cantidad]]</f>
        <v>0</v>
      </c>
      <c r="R679" s="28">
        <f>data[[#This Row],[Cantidad]]*data[[#This Row],[Precio de Venta Cliente ($/Unid)]]</f>
        <v>94.28</v>
      </c>
      <c r="S679" s="29"/>
      <c r="T679" s="22" t="s">
        <v>134</v>
      </c>
      <c r="U679" s="22"/>
      <c r="V679" s="30" t="s">
        <v>42</v>
      </c>
      <c r="W679" s="32" t="s">
        <v>42</v>
      </c>
      <c r="X679" s="22" t="s">
        <v>23</v>
      </c>
      <c r="Y679" s="22" t="s">
        <v>23</v>
      </c>
      <c r="Z679" s="22" t="s">
        <v>50</v>
      </c>
      <c r="AA679" s="106"/>
    </row>
    <row r="680" spans="2:27" s="10" customFormat="1" x14ac:dyDescent="0.25">
      <c r="B680" s="23"/>
      <c r="C680" s="174" t="str">
        <f>TEXT(data[[#This Row],[Fecha de Envío
Cotización]],"MMMM")</f>
        <v>abril</v>
      </c>
      <c r="D680" s="174">
        <v>44309</v>
      </c>
      <c r="E680" s="174" t="str">
        <f>IF(data[[#This Row],[Estatus de 
Cotización]]="PERDIDO","N/A","")</f>
        <v>N/A</v>
      </c>
      <c r="F680" s="23"/>
      <c r="G680" s="109"/>
      <c r="H680" s="23"/>
      <c r="I680" s="86">
        <v>511981</v>
      </c>
      <c r="J680" s="87">
        <v>1513</v>
      </c>
      <c r="K680" s="24" t="s">
        <v>123</v>
      </c>
      <c r="L680" s="22"/>
      <c r="M680" s="108" t="s">
        <v>867</v>
      </c>
      <c r="N680" s="22">
        <v>2</v>
      </c>
      <c r="O680" s="26"/>
      <c r="P680" s="107">
        <v>156.46</v>
      </c>
      <c r="Q680" s="28">
        <f>data[[#This Row],[Costo Producto
Proveedor ($/Unid)]]*data[[#This Row],[Cantidad]]</f>
        <v>0</v>
      </c>
      <c r="R680" s="28">
        <f>data[[#This Row],[Cantidad]]*data[[#This Row],[Precio de Venta Cliente ($/Unid)]]</f>
        <v>312.92</v>
      </c>
      <c r="S680" s="29"/>
      <c r="T680" s="22" t="s">
        <v>134</v>
      </c>
      <c r="U680" s="22"/>
      <c r="V680" s="30" t="s">
        <v>42</v>
      </c>
      <c r="W680" s="32" t="s">
        <v>42</v>
      </c>
      <c r="X680" s="22" t="s">
        <v>23</v>
      </c>
      <c r="Y680" s="22" t="s">
        <v>23</v>
      </c>
      <c r="Z680" s="22" t="s">
        <v>50</v>
      </c>
      <c r="AA680" s="106"/>
    </row>
    <row r="681" spans="2:27" s="10" customFormat="1" x14ac:dyDescent="0.25">
      <c r="B681" s="174"/>
      <c r="C681" s="174" t="str">
        <f>TEXT(data[[#This Row],[Fecha de Envío
Cotización]],"MMMM")</f>
        <v>abril</v>
      </c>
      <c r="D681" s="174">
        <v>44309</v>
      </c>
      <c r="E681" s="174" t="str">
        <f>IF(data[[#This Row],[Estatus de 
Cotización]]="PERDIDO","N/A","")</f>
        <v>N/A</v>
      </c>
      <c r="F681" s="174"/>
      <c r="G681" s="109"/>
      <c r="H681" s="174"/>
      <c r="I681" s="86">
        <v>511982</v>
      </c>
      <c r="J681" s="87">
        <v>1513</v>
      </c>
      <c r="K681" s="24" t="s">
        <v>123</v>
      </c>
      <c r="L681" s="106"/>
      <c r="M681" s="108" t="s">
        <v>868</v>
      </c>
      <c r="N681" s="106">
        <v>4</v>
      </c>
      <c r="O681" s="107"/>
      <c r="P681" s="107">
        <v>154.46</v>
      </c>
      <c r="Q681" s="28">
        <f>data[[#This Row],[Costo Producto
Proveedor ($/Unid)]]*data[[#This Row],[Cantidad]]</f>
        <v>0</v>
      </c>
      <c r="R681" s="28">
        <f>data[[#This Row],[Cantidad]]*data[[#This Row],[Precio de Venta Cliente ($/Unid)]]</f>
        <v>617.84</v>
      </c>
      <c r="S681" s="29"/>
      <c r="T681" s="106" t="s">
        <v>134</v>
      </c>
      <c r="U681" s="106"/>
      <c r="V681" s="30" t="s">
        <v>42</v>
      </c>
      <c r="W681" s="32" t="s">
        <v>42</v>
      </c>
      <c r="X681" s="106" t="s">
        <v>23</v>
      </c>
      <c r="Y681" s="106" t="s">
        <v>23</v>
      </c>
      <c r="Z681" s="106" t="s">
        <v>50</v>
      </c>
      <c r="AA681" s="106"/>
    </row>
    <row r="682" spans="2:27" s="10" customFormat="1" x14ac:dyDescent="0.25">
      <c r="B682" s="23"/>
      <c r="C682" s="174" t="str">
        <f>TEXT(data[[#This Row],[Fecha de Envío
Cotización]],"MMMM")</f>
        <v>abril</v>
      </c>
      <c r="D682" s="174">
        <v>44312</v>
      </c>
      <c r="E682" s="174">
        <v>44343</v>
      </c>
      <c r="F682" s="23"/>
      <c r="G682" s="109">
        <v>15613</v>
      </c>
      <c r="H682" s="23">
        <v>44343</v>
      </c>
      <c r="I682" s="86">
        <v>511992</v>
      </c>
      <c r="J682" s="89">
        <v>1514</v>
      </c>
      <c r="K682" s="24" t="s">
        <v>123</v>
      </c>
      <c r="L682" s="22"/>
      <c r="M682" s="111" t="s">
        <v>923</v>
      </c>
      <c r="N682" s="22">
        <v>1</v>
      </c>
      <c r="O682" s="26"/>
      <c r="P682" s="107">
        <v>164.39</v>
      </c>
      <c r="Q682" s="28">
        <f>data[[#This Row],[Costo Producto
Proveedor ($/Unid)]]*data[[#This Row],[Cantidad]]</f>
        <v>0</v>
      </c>
      <c r="R682" s="28">
        <f>data[[#This Row],[Cantidad]]*data[[#This Row],[Precio de Venta Cliente ($/Unid)]]</f>
        <v>164.39</v>
      </c>
      <c r="S682" s="29"/>
      <c r="T682" s="39" t="s">
        <v>134</v>
      </c>
      <c r="U682" s="39"/>
      <c r="V682" s="30" t="s">
        <v>44</v>
      </c>
      <c r="W682" s="32" t="s">
        <v>44</v>
      </c>
      <c r="X682" s="22" t="s">
        <v>503</v>
      </c>
      <c r="Y682" s="22" t="s">
        <v>503</v>
      </c>
      <c r="Z682" s="22" t="s">
        <v>50</v>
      </c>
      <c r="AA682" s="106"/>
    </row>
    <row r="683" spans="2:27" s="10" customFormat="1" x14ac:dyDescent="0.25">
      <c r="B683" s="23"/>
      <c r="C683" s="174" t="str">
        <f>TEXT(data[[#This Row],[Fecha de Envío
Cotización]],"MMMM")</f>
        <v>abril</v>
      </c>
      <c r="D683" s="23">
        <v>44312</v>
      </c>
      <c r="E683" s="174" t="str">
        <f>IF(data[[#This Row],[Estatus de 
Cotización]]="PERDIDO","N/A","")</f>
        <v>N/A</v>
      </c>
      <c r="F683" s="23"/>
      <c r="G683" s="109"/>
      <c r="H683" s="23"/>
      <c r="I683" s="86">
        <v>511993</v>
      </c>
      <c r="J683" s="89">
        <v>1515</v>
      </c>
      <c r="K683" s="24" t="s">
        <v>123</v>
      </c>
      <c r="L683" s="22"/>
      <c r="M683" s="111" t="s">
        <v>924</v>
      </c>
      <c r="N683" s="22">
        <v>1</v>
      </c>
      <c r="O683" s="26"/>
      <c r="P683" s="107">
        <v>58435.66</v>
      </c>
      <c r="Q683" s="28">
        <f>data[[#This Row],[Costo Producto
Proveedor ($/Unid)]]*data[[#This Row],[Cantidad]]</f>
        <v>0</v>
      </c>
      <c r="R683" s="28">
        <f>data[[#This Row],[Cantidad]]*data[[#This Row],[Precio de Venta Cliente ($/Unid)]]</f>
        <v>58435.66</v>
      </c>
      <c r="S683" s="29"/>
      <c r="T683" s="106" t="s">
        <v>926</v>
      </c>
      <c r="U683" s="106"/>
      <c r="V683" s="30" t="s">
        <v>42</v>
      </c>
      <c r="W683" s="32" t="s">
        <v>42</v>
      </c>
      <c r="X683" s="22" t="s">
        <v>23</v>
      </c>
      <c r="Y683" s="22" t="s">
        <v>23</v>
      </c>
      <c r="Z683" s="22" t="s">
        <v>50</v>
      </c>
      <c r="AA683" s="106"/>
    </row>
    <row r="684" spans="2:27" s="10" customFormat="1" x14ac:dyDescent="0.25">
      <c r="B684" s="23"/>
      <c r="C684" s="174" t="str">
        <f>TEXT(data[[#This Row],[Fecha de Envío
Cotización]],"MMMM")</f>
        <v>abril</v>
      </c>
      <c r="D684" s="23">
        <v>44312</v>
      </c>
      <c r="E684" s="174" t="str">
        <f>IF(data[[#This Row],[Estatus de 
Cotización]]="PERDIDO","N/A","")</f>
        <v>N/A</v>
      </c>
      <c r="F684" s="23"/>
      <c r="G684" s="109"/>
      <c r="H684" s="23"/>
      <c r="I684" s="86">
        <v>511994</v>
      </c>
      <c r="J684" s="89">
        <v>1517</v>
      </c>
      <c r="K684" s="24" t="s">
        <v>90</v>
      </c>
      <c r="L684" s="22"/>
      <c r="M684" s="111" t="s">
        <v>925</v>
      </c>
      <c r="N684" s="22">
        <v>1</v>
      </c>
      <c r="O684" s="26"/>
      <c r="P684" s="107">
        <v>251.7</v>
      </c>
      <c r="Q684" s="28">
        <f>data[[#This Row],[Costo Producto
Proveedor ($/Unid)]]*data[[#This Row],[Cantidad]]</f>
        <v>0</v>
      </c>
      <c r="R684" s="28">
        <f>data[[#This Row],[Cantidad]]*data[[#This Row],[Precio de Venta Cliente ($/Unid)]]</f>
        <v>251.7</v>
      </c>
      <c r="S684" s="29"/>
      <c r="T684" s="106" t="s">
        <v>134</v>
      </c>
      <c r="U684" s="106"/>
      <c r="V684" s="30" t="s">
        <v>42</v>
      </c>
      <c r="W684" s="32" t="s">
        <v>42</v>
      </c>
      <c r="X684" s="22" t="s">
        <v>23</v>
      </c>
      <c r="Y684" s="22" t="s">
        <v>23</v>
      </c>
      <c r="Z684" s="22" t="s">
        <v>50</v>
      </c>
      <c r="AA684" s="106"/>
    </row>
    <row r="685" spans="2:27" s="10" customFormat="1" x14ac:dyDescent="0.25">
      <c r="B685" s="23"/>
      <c r="C685" s="174" t="str">
        <f>TEXT(data[[#This Row],[Fecha de Envío
Cotización]],"MMMM")</f>
        <v>abril</v>
      </c>
      <c r="D685" s="23">
        <v>44312</v>
      </c>
      <c r="E685" s="174">
        <v>44327</v>
      </c>
      <c r="F685" s="23"/>
      <c r="G685" s="109">
        <v>3210661</v>
      </c>
      <c r="H685" s="23">
        <v>44327</v>
      </c>
      <c r="I685" s="86">
        <v>5119998</v>
      </c>
      <c r="J685" s="89">
        <v>1517</v>
      </c>
      <c r="K685" s="24" t="s">
        <v>33</v>
      </c>
      <c r="L685" s="22"/>
      <c r="M685" s="105" t="s">
        <v>1468</v>
      </c>
      <c r="N685" s="22">
        <v>1</v>
      </c>
      <c r="O685" s="26"/>
      <c r="P685" s="107">
        <v>729.83</v>
      </c>
      <c r="Q685" s="28">
        <f>data[[#This Row],[Costo Producto
Proveedor ($/Unid)]]*data[[#This Row],[Cantidad]]</f>
        <v>0</v>
      </c>
      <c r="R685" s="121">
        <f>data[[#This Row],[Cantidad]]*data[[#This Row],[Precio de Venta Cliente ($/Unid)]]</f>
        <v>729.83</v>
      </c>
      <c r="S685" s="29"/>
      <c r="T685" s="106" t="s">
        <v>119</v>
      </c>
      <c r="U685" s="106"/>
      <c r="V685" s="30" t="s">
        <v>44</v>
      </c>
      <c r="W685" s="32" t="s">
        <v>44</v>
      </c>
      <c r="X685" s="22" t="s">
        <v>503</v>
      </c>
      <c r="Y685" s="22" t="s">
        <v>47</v>
      </c>
      <c r="Z685" s="22" t="s">
        <v>50</v>
      </c>
      <c r="AA685" s="106"/>
    </row>
    <row r="686" spans="2:27" s="10" customFormat="1" x14ac:dyDescent="0.25">
      <c r="B686" s="23"/>
      <c r="C686" s="174" t="str">
        <f>TEXT(data[[#This Row],[Fecha de Envío
Cotización]],"MMMM")</f>
        <v>abril</v>
      </c>
      <c r="D686" s="23">
        <v>44313</v>
      </c>
      <c r="E686" s="174" t="str">
        <f>IF(data[[#This Row],[Estatus de 
Cotización]]="PERDIDO","N/A","")</f>
        <v>N/A</v>
      </c>
      <c r="F686" s="23"/>
      <c r="G686" s="109"/>
      <c r="H686" s="23"/>
      <c r="I686" s="86">
        <v>512002</v>
      </c>
      <c r="J686" s="89">
        <v>1518</v>
      </c>
      <c r="K686" s="24" t="s">
        <v>125</v>
      </c>
      <c r="L686" s="22"/>
      <c r="M686" s="108" t="s">
        <v>960</v>
      </c>
      <c r="N686" s="22">
        <v>3</v>
      </c>
      <c r="O686" s="26"/>
      <c r="P686" s="107">
        <v>779.24</v>
      </c>
      <c r="Q686" s="28">
        <f>data[[#This Row],[Costo Producto
Proveedor ($/Unid)]]*data[[#This Row],[Cantidad]]</f>
        <v>0</v>
      </c>
      <c r="R686" s="28">
        <f>data[[#This Row],[Cantidad]]*data[[#This Row],[Precio de Venta Cliente ($/Unid)]]</f>
        <v>2337.7200000000003</v>
      </c>
      <c r="S686" s="29"/>
      <c r="T686" s="106" t="s">
        <v>51</v>
      </c>
      <c r="U686" s="106"/>
      <c r="V686" s="30" t="s">
        <v>42</v>
      </c>
      <c r="W686" s="32" t="s">
        <v>42</v>
      </c>
      <c r="X686" s="22" t="s">
        <v>23</v>
      </c>
      <c r="Y686" s="22" t="s">
        <v>23</v>
      </c>
      <c r="Z686" s="22" t="s">
        <v>50</v>
      </c>
      <c r="AA686" s="106"/>
    </row>
    <row r="687" spans="2:27" s="10" customFormat="1" x14ac:dyDescent="0.25">
      <c r="B687" s="23"/>
      <c r="C687" s="174" t="str">
        <f>TEXT(data[[#This Row],[Fecha de Envío
Cotización]],"MMMM")</f>
        <v>abril</v>
      </c>
      <c r="D687" s="23">
        <v>44313</v>
      </c>
      <c r="E687" s="174" t="str">
        <f>IF(data[[#This Row],[Estatus de 
Cotización]]="PERDIDO","N/A","")</f>
        <v>N/A</v>
      </c>
      <c r="F687" s="23"/>
      <c r="G687" s="109"/>
      <c r="H687" s="23"/>
      <c r="I687" s="86">
        <v>512003</v>
      </c>
      <c r="J687" s="89">
        <v>1518</v>
      </c>
      <c r="K687" s="24" t="s">
        <v>125</v>
      </c>
      <c r="L687" s="22"/>
      <c r="M687" s="108" t="s">
        <v>961</v>
      </c>
      <c r="N687" s="22">
        <v>1</v>
      </c>
      <c r="O687" s="26"/>
      <c r="P687" s="107">
        <v>607.82000000000005</v>
      </c>
      <c r="Q687" s="28">
        <f>data[[#This Row],[Costo Producto
Proveedor ($/Unid)]]*data[[#This Row],[Cantidad]]</f>
        <v>0</v>
      </c>
      <c r="R687" s="28">
        <f>data[[#This Row],[Cantidad]]*data[[#This Row],[Precio de Venta Cliente ($/Unid)]]</f>
        <v>607.82000000000005</v>
      </c>
      <c r="S687" s="29"/>
      <c r="T687" s="106" t="s">
        <v>51</v>
      </c>
      <c r="U687" s="106"/>
      <c r="V687" s="30" t="s">
        <v>42</v>
      </c>
      <c r="W687" s="32" t="s">
        <v>42</v>
      </c>
      <c r="X687" s="22" t="s">
        <v>23</v>
      </c>
      <c r="Y687" s="22" t="s">
        <v>23</v>
      </c>
      <c r="Z687" s="22" t="s">
        <v>50</v>
      </c>
      <c r="AA687" s="106"/>
    </row>
    <row r="688" spans="2:27" s="10" customFormat="1" x14ac:dyDescent="0.25">
      <c r="B688" s="23"/>
      <c r="C688" s="174" t="str">
        <f>TEXT(data[[#This Row],[Fecha de Envío
Cotización]],"MMMM")</f>
        <v>abril</v>
      </c>
      <c r="D688" s="23">
        <v>44313</v>
      </c>
      <c r="E688" s="174" t="str">
        <f>IF(data[[#This Row],[Estatus de 
Cotización]]="PERDIDO","N/A","")</f>
        <v>N/A</v>
      </c>
      <c r="F688" s="23"/>
      <c r="G688" s="109"/>
      <c r="H688" s="23"/>
      <c r="I688" s="86">
        <v>512004</v>
      </c>
      <c r="J688" s="89">
        <v>1519</v>
      </c>
      <c r="K688" s="24" t="s">
        <v>125</v>
      </c>
      <c r="L688" s="22"/>
      <c r="M688" s="108" t="s">
        <v>962</v>
      </c>
      <c r="N688" s="22">
        <v>1</v>
      </c>
      <c r="O688" s="26"/>
      <c r="P688" s="107">
        <v>141.75</v>
      </c>
      <c r="Q688" s="28">
        <f>data[[#This Row],[Costo Producto
Proveedor ($/Unid)]]*data[[#This Row],[Cantidad]]</f>
        <v>0</v>
      </c>
      <c r="R688" s="28">
        <f>data[[#This Row],[Cantidad]]*data[[#This Row],[Precio de Venta Cliente ($/Unid)]]</f>
        <v>141.75</v>
      </c>
      <c r="S688" s="29"/>
      <c r="T688" s="106" t="s">
        <v>134</v>
      </c>
      <c r="U688" s="106"/>
      <c r="V688" s="30" t="s">
        <v>42</v>
      </c>
      <c r="W688" s="32" t="s">
        <v>42</v>
      </c>
      <c r="X688" s="22" t="s">
        <v>23</v>
      </c>
      <c r="Y688" s="22" t="s">
        <v>23</v>
      </c>
      <c r="Z688" s="22" t="s">
        <v>50</v>
      </c>
      <c r="AA688" s="106"/>
    </row>
    <row r="689" spans="2:27" s="10" customFormat="1" x14ac:dyDescent="0.25">
      <c r="B689" s="174"/>
      <c r="C689" s="174" t="str">
        <f>TEXT(data[[#This Row],[Fecha de Envío
Cotización]],"MMMM")</f>
        <v>abril</v>
      </c>
      <c r="D689" s="174">
        <v>44313</v>
      </c>
      <c r="E689" s="174" t="str">
        <f>IF(data[[#This Row],[Estatus de 
Cotización]]="PERDIDO","N/A","")</f>
        <v>N/A</v>
      </c>
      <c r="F689" s="174"/>
      <c r="G689" s="109"/>
      <c r="H689" s="174"/>
      <c r="I689" s="86">
        <v>512005</v>
      </c>
      <c r="J689" s="89">
        <v>1520</v>
      </c>
      <c r="K689" s="24" t="s">
        <v>90</v>
      </c>
      <c r="L689" s="106"/>
      <c r="M689" s="108" t="s">
        <v>963</v>
      </c>
      <c r="N689" s="106">
        <v>2</v>
      </c>
      <c r="O689" s="107"/>
      <c r="P689" s="107">
        <v>1035.42</v>
      </c>
      <c r="Q689" s="28">
        <f>data[[#This Row],[Costo Producto
Proveedor ($/Unid)]]*data[[#This Row],[Cantidad]]</f>
        <v>0</v>
      </c>
      <c r="R689" s="28">
        <f>data[[#This Row],[Cantidad]]*data[[#This Row],[Precio de Venta Cliente ($/Unid)]]</f>
        <v>2070.84</v>
      </c>
      <c r="S689" s="29"/>
      <c r="T689" s="106" t="s">
        <v>419</v>
      </c>
      <c r="U689" s="106"/>
      <c r="V689" s="30" t="s">
        <v>42</v>
      </c>
      <c r="W689" s="32" t="s">
        <v>42</v>
      </c>
      <c r="X689" s="106" t="s">
        <v>23</v>
      </c>
      <c r="Y689" s="106" t="s">
        <v>23</v>
      </c>
      <c r="Z689" s="106" t="s">
        <v>50</v>
      </c>
      <c r="AA689" s="106"/>
    </row>
    <row r="690" spans="2:27" s="10" customFormat="1" x14ac:dyDescent="0.25">
      <c r="B690" s="23"/>
      <c r="C690" s="174" t="str">
        <f>TEXT(data[[#This Row],[Fecha de Envío
Cotización]],"MMMM")</f>
        <v>abril</v>
      </c>
      <c r="D690" s="174">
        <v>44313</v>
      </c>
      <c r="E690" s="174" t="str">
        <f>IF(data[[#This Row],[Estatus de 
Cotización]]="PERDIDO","N/A","")</f>
        <v>N/A</v>
      </c>
      <c r="F690" s="23"/>
      <c r="G690" s="109"/>
      <c r="H690" s="23"/>
      <c r="I690" s="86">
        <v>512006</v>
      </c>
      <c r="J690" s="89">
        <v>1521</v>
      </c>
      <c r="K690" s="24" t="s">
        <v>90</v>
      </c>
      <c r="L690" s="22"/>
      <c r="M690" s="108" t="s">
        <v>984</v>
      </c>
      <c r="N690" s="22">
        <v>5</v>
      </c>
      <c r="O690" s="26"/>
      <c r="P690" s="107">
        <v>44.38</v>
      </c>
      <c r="Q690" s="28">
        <f>data[[#This Row],[Costo Producto
Proveedor ($/Unid)]]*data[[#This Row],[Cantidad]]</f>
        <v>0</v>
      </c>
      <c r="R690" s="28">
        <f>data[[#This Row],[Cantidad]]*data[[#This Row],[Precio de Venta Cliente ($/Unid)]]</f>
        <v>221.9</v>
      </c>
      <c r="S690" s="29"/>
      <c r="T690" s="22" t="s">
        <v>419</v>
      </c>
      <c r="U690" s="22"/>
      <c r="V690" s="30" t="s">
        <v>42</v>
      </c>
      <c r="W690" s="32" t="s">
        <v>42</v>
      </c>
      <c r="X690" s="22" t="s">
        <v>23</v>
      </c>
      <c r="Y690" s="22" t="s">
        <v>23</v>
      </c>
      <c r="Z690" s="22" t="s">
        <v>50</v>
      </c>
      <c r="AA690" s="106"/>
    </row>
    <row r="691" spans="2:27" s="10" customFormat="1" x14ac:dyDescent="0.25">
      <c r="B691" s="174"/>
      <c r="C691" s="174" t="str">
        <f>TEXT(data[[#This Row],[Fecha de Envío
Cotización]],"MMMM")</f>
        <v>abril</v>
      </c>
      <c r="D691" s="174">
        <v>44313</v>
      </c>
      <c r="E691" s="174" t="str">
        <f>IF(data[[#This Row],[Estatus de 
Cotización]]="PERDIDO","N/A","")</f>
        <v>N/A</v>
      </c>
      <c r="F691" s="174"/>
      <c r="G691" s="109"/>
      <c r="H691" s="174"/>
      <c r="I691" s="86">
        <v>512007</v>
      </c>
      <c r="J691" s="89">
        <v>1522</v>
      </c>
      <c r="K691" s="24" t="s">
        <v>90</v>
      </c>
      <c r="L691" s="106"/>
      <c r="M691" s="108" t="s">
        <v>985</v>
      </c>
      <c r="N691" s="106">
        <v>2</v>
      </c>
      <c r="O691" s="107"/>
      <c r="P691" s="107">
        <v>152.71</v>
      </c>
      <c r="Q691" s="28">
        <f>data[[#This Row],[Costo Producto
Proveedor ($/Unid)]]*data[[#This Row],[Cantidad]]</f>
        <v>0</v>
      </c>
      <c r="R691" s="28">
        <f>data[[#This Row],[Cantidad]]*data[[#This Row],[Precio de Venta Cliente ($/Unid)]]</f>
        <v>305.42</v>
      </c>
      <c r="S691" s="29"/>
      <c r="T691" s="106" t="s">
        <v>419</v>
      </c>
      <c r="U691" s="106"/>
      <c r="V691" s="30" t="s">
        <v>42</v>
      </c>
      <c r="W691" s="32" t="s">
        <v>42</v>
      </c>
      <c r="X691" s="106" t="s">
        <v>23</v>
      </c>
      <c r="Y691" s="106" t="s">
        <v>23</v>
      </c>
      <c r="Z691" s="106" t="s">
        <v>50</v>
      </c>
      <c r="AA691" s="106"/>
    </row>
    <row r="692" spans="2:27" s="38" customFormat="1" x14ac:dyDescent="0.25">
      <c r="B692" s="174"/>
      <c r="C692" s="174" t="str">
        <f>TEXT(data[[#This Row],[Fecha de Envío
Cotización]],"MMMM")</f>
        <v>abril</v>
      </c>
      <c r="D692" s="174">
        <v>44313</v>
      </c>
      <c r="E692" s="174" t="str">
        <f>IF(data[[#This Row],[Estatus de 
Cotización]]="PERDIDO","N/A","")</f>
        <v>N/A</v>
      </c>
      <c r="F692" s="174"/>
      <c r="G692" s="109"/>
      <c r="H692" s="174"/>
      <c r="I692" s="86">
        <v>512008</v>
      </c>
      <c r="J692" s="89">
        <v>1522</v>
      </c>
      <c r="K692" s="24" t="s">
        <v>90</v>
      </c>
      <c r="L692" s="106"/>
      <c r="M692" s="108" t="s">
        <v>986</v>
      </c>
      <c r="N692" s="106">
        <v>2</v>
      </c>
      <c r="O692" s="107"/>
      <c r="P692" s="107">
        <v>511.9</v>
      </c>
      <c r="Q692" s="28">
        <f>data[[#This Row],[Costo Producto
Proveedor ($/Unid)]]*data[[#This Row],[Cantidad]]</f>
        <v>0</v>
      </c>
      <c r="R692" s="28">
        <f>data[[#This Row],[Cantidad]]*data[[#This Row],[Precio de Venta Cliente ($/Unid)]]</f>
        <v>1023.8</v>
      </c>
      <c r="S692" s="29"/>
      <c r="T692" s="106" t="s">
        <v>419</v>
      </c>
      <c r="U692" s="106"/>
      <c r="V692" s="30" t="s">
        <v>42</v>
      </c>
      <c r="W692" s="32" t="s">
        <v>42</v>
      </c>
      <c r="X692" s="106" t="s">
        <v>23</v>
      </c>
      <c r="Y692" s="106" t="s">
        <v>23</v>
      </c>
      <c r="Z692" s="106" t="s">
        <v>50</v>
      </c>
      <c r="AA692" s="106"/>
    </row>
    <row r="693" spans="2:27" s="38" customFormat="1" x14ac:dyDescent="0.25">
      <c r="B693" s="174"/>
      <c r="C693" s="174" t="str">
        <f>TEXT(data[[#This Row],[Fecha de Envío
Cotización]],"MMMM")</f>
        <v>abril</v>
      </c>
      <c r="D693" s="174">
        <v>44313</v>
      </c>
      <c r="E693" s="174" t="str">
        <f>IF(data[[#This Row],[Estatus de 
Cotización]]="PERDIDO","N/A","")</f>
        <v>N/A</v>
      </c>
      <c r="F693" s="174"/>
      <c r="G693" s="109"/>
      <c r="H693" s="174"/>
      <c r="I693" s="86">
        <v>512009</v>
      </c>
      <c r="J693" s="89">
        <v>1522</v>
      </c>
      <c r="K693" s="24" t="s">
        <v>90</v>
      </c>
      <c r="L693" s="106"/>
      <c r="M693" s="108" t="s">
        <v>733</v>
      </c>
      <c r="N693" s="106">
        <v>6</v>
      </c>
      <c r="O693" s="107"/>
      <c r="P693" s="107">
        <v>278.18</v>
      </c>
      <c r="Q693" s="28">
        <f>data[[#This Row],[Costo Producto
Proveedor ($/Unid)]]*data[[#This Row],[Cantidad]]</f>
        <v>0</v>
      </c>
      <c r="R693" s="28">
        <f>data[[#This Row],[Cantidad]]*data[[#This Row],[Precio de Venta Cliente ($/Unid)]]</f>
        <v>1669.08</v>
      </c>
      <c r="S693" s="29"/>
      <c r="T693" s="106" t="s">
        <v>419</v>
      </c>
      <c r="U693" s="106"/>
      <c r="V693" s="30" t="s">
        <v>42</v>
      </c>
      <c r="W693" s="32" t="s">
        <v>42</v>
      </c>
      <c r="X693" s="106" t="s">
        <v>23</v>
      </c>
      <c r="Y693" s="106" t="s">
        <v>23</v>
      </c>
      <c r="Z693" s="106" t="s">
        <v>50</v>
      </c>
      <c r="AA693" s="106"/>
    </row>
    <row r="694" spans="2:27" s="38" customFormat="1" x14ac:dyDescent="0.25">
      <c r="B694" s="174"/>
      <c r="C694" s="174" t="str">
        <f>TEXT(data[[#This Row],[Fecha de Envío
Cotización]],"MMMM")</f>
        <v>abril</v>
      </c>
      <c r="D694" s="174">
        <v>44313</v>
      </c>
      <c r="E694" s="174" t="str">
        <f>IF(data[[#This Row],[Estatus de 
Cotización]]="PERDIDO","N/A","")</f>
        <v>N/A</v>
      </c>
      <c r="F694" s="174"/>
      <c r="G694" s="109"/>
      <c r="H694" s="174"/>
      <c r="I694" s="86">
        <v>512010</v>
      </c>
      <c r="J694" s="89">
        <v>1523</v>
      </c>
      <c r="K694" s="24" t="s">
        <v>33</v>
      </c>
      <c r="L694" s="106"/>
      <c r="M694" s="108" t="s">
        <v>987</v>
      </c>
      <c r="N694" s="106">
        <v>1</v>
      </c>
      <c r="O694" s="107"/>
      <c r="P694" s="107">
        <v>363.61</v>
      </c>
      <c r="Q694" s="28">
        <f>data[[#This Row],[Costo Producto
Proveedor ($/Unid)]]*data[[#This Row],[Cantidad]]</f>
        <v>0</v>
      </c>
      <c r="R694" s="28">
        <f>data[[#This Row],[Cantidad]]*data[[#This Row],[Precio de Venta Cliente ($/Unid)]]</f>
        <v>363.61</v>
      </c>
      <c r="S694" s="29"/>
      <c r="T694" s="106" t="s">
        <v>51</v>
      </c>
      <c r="U694" s="106"/>
      <c r="V694" s="30" t="s">
        <v>42</v>
      </c>
      <c r="W694" s="32" t="s">
        <v>42</v>
      </c>
      <c r="X694" s="106" t="s">
        <v>23</v>
      </c>
      <c r="Y694" s="106" t="s">
        <v>23</v>
      </c>
      <c r="Z694" s="106" t="s">
        <v>50</v>
      </c>
      <c r="AA694" s="106"/>
    </row>
    <row r="695" spans="2:27" s="38" customFormat="1" x14ac:dyDescent="0.25">
      <c r="B695" s="174"/>
      <c r="C695" s="174" t="str">
        <f>TEXT(data[[#This Row],[Fecha de Envío
Cotización]],"MMMM")</f>
        <v>abril</v>
      </c>
      <c r="D695" s="174">
        <v>44313</v>
      </c>
      <c r="E695" s="174">
        <v>44327</v>
      </c>
      <c r="F695" s="174">
        <v>44327</v>
      </c>
      <c r="G695" s="109">
        <v>3210662</v>
      </c>
      <c r="H695" s="174">
        <v>44327</v>
      </c>
      <c r="I695" s="86">
        <v>5115966</v>
      </c>
      <c r="J695" s="89">
        <v>1516</v>
      </c>
      <c r="K695" s="24" t="s">
        <v>33</v>
      </c>
      <c r="L695" s="106"/>
      <c r="M695" s="108" t="s">
        <v>1413</v>
      </c>
      <c r="N695" s="106">
        <v>1</v>
      </c>
      <c r="O695" s="107"/>
      <c r="P695" s="107">
        <v>882.07</v>
      </c>
      <c r="Q695" s="28">
        <f>data[[#This Row],[Costo Producto
Proveedor ($/Unid)]]*data[[#This Row],[Cantidad]]</f>
        <v>0</v>
      </c>
      <c r="R695" s="120">
        <f>data[[#This Row],[Cantidad]]*data[[#This Row],[Precio de Venta Cliente ($/Unid)]]</f>
        <v>882.07</v>
      </c>
      <c r="S695" s="29"/>
      <c r="T695" s="106" t="s">
        <v>119</v>
      </c>
      <c r="U695" s="106"/>
      <c r="V695" s="30" t="s">
        <v>44</v>
      </c>
      <c r="W695" s="32" t="s">
        <v>44</v>
      </c>
      <c r="X695" s="106" t="s">
        <v>45</v>
      </c>
      <c r="Y695" s="106" t="s">
        <v>47</v>
      </c>
      <c r="Z695" s="106" t="s">
        <v>50</v>
      </c>
      <c r="AA695" s="106"/>
    </row>
    <row r="696" spans="2:27" s="38" customFormat="1" x14ac:dyDescent="0.25">
      <c r="B696" s="44"/>
      <c r="C696" s="174" t="str">
        <f>TEXT(data[[#This Row],[Fecha de Envío
Cotización]],"MMMM")</f>
        <v>abril</v>
      </c>
      <c r="D696" s="44">
        <v>44314</v>
      </c>
      <c r="E696" s="174" t="str">
        <f>IF(data[[#This Row],[Estatus de 
Cotización]]="PERDIDO","N/A","")</f>
        <v>N/A</v>
      </c>
      <c r="F696" s="44"/>
      <c r="G696" s="109"/>
      <c r="H696" s="44"/>
      <c r="I696" s="86">
        <v>512018</v>
      </c>
      <c r="J696" s="89">
        <v>1524</v>
      </c>
      <c r="K696" s="24" t="s">
        <v>33</v>
      </c>
      <c r="L696" s="39"/>
      <c r="M696" s="53" t="s">
        <v>988</v>
      </c>
      <c r="N696" s="39">
        <v>2</v>
      </c>
      <c r="O696" s="40"/>
      <c r="P696" s="107">
        <v>2801.15</v>
      </c>
      <c r="Q696" s="28">
        <f>data[[#This Row],[Costo Producto
Proveedor ($/Unid)]]*data[[#This Row],[Cantidad]]</f>
        <v>0</v>
      </c>
      <c r="R696" s="28">
        <f>data[[#This Row],[Cantidad]]*data[[#This Row],[Precio de Venta Cliente ($/Unid)]]</f>
        <v>5602.3</v>
      </c>
      <c r="S696" s="29"/>
      <c r="T696" s="39" t="s">
        <v>419</v>
      </c>
      <c r="U696" s="39"/>
      <c r="V696" s="30" t="s">
        <v>42</v>
      </c>
      <c r="W696" s="32" t="s">
        <v>42</v>
      </c>
      <c r="X696" s="39" t="s">
        <v>23</v>
      </c>
      <c r="Y696" s="39" t="s">
        <v>23</v>
      </c>
      <c r="Z696" s="39" t="s">
        <v>50</v>
      </c>
      <c r="AA696" s="106"/>
    </row>
    <row r="697" spans="2:27" s="38" customFormat="1" x14ac:dyDescent="0.25">
      <c r="B697" s="44"/>
      <c r="C697" s="174" t="str">
        <f>TEXT(data[[#This Row],[Fecha de Envío
Cotización]],"MMMM")</f>
        <v>abril</v>
      </c>
      <c r="D697" s="44">
        <v>44315</v>
      </c>
      <c r="E697" s="174" t="str">
        <f>IF(data[[#This Row],[Estatus de 
Cotización]]="PERDIDO","N/A","")</f>
        <v>N/A</v>
      </c>
      <c r="F697" s="44"/>
      <c r="G697" s="109"/>
      <c r="H697" s="44"/>
      <c r="I697" s="86">
        <v>512031</v>
      </c>
      <c r="J697" s="89">
        <v>1525</v>
      </c>
      <c r="K697" s="24" t="s">
        <v>109</v>
      </c>
      <c r="L697" s="39"/>
      <c r="M697" s="41" t="s">
        <v>1000</v>
      </c>
      <c r="N697" s="39">
        <v>1</v>
      </c>
      <c r="O697" s="40"/>
      <c r="P697" s="107">
        <v>566.80999999999995</v>
      </c>
      <c r="Q697" s="28">
        <f>data[[#This Row],[Costo Producto
Proveedor ($/Unid)]]*data[[#This Row],[Cantidad]]</f>
        <v>0</v>
      </c>
      <c r="R697" s="28">
        <f>data[[#This Row],[Cantidad]]*data[[#This Row],[Precio de Venta Cliente ($/Unid)]]</f>
        <v>566.80999999999995</v>
      </c>
      <c r="S697" s="29"/>
      <c r="T697" s="39" t="s">
        <v>134</v>
      </c>
      <c r="U697" s="39"/>
      <c r="V697" s="30" t="s">
        <v>42</v>
      </c>
      <c r="W697" s="32" t="s">
        <v>42</v>
      </c>
      <c r="X697" s="39" t="s">
        <v>23</v>
      </c>
      <c r="Y697" s="39" t="s">
        <v>23</v>
      </c>
      <c r="Z697" s="39" t="s">
        <v>50</v>
      </c>
      <c r="AA697" s="106"/>
    </row>
    <row r="698" spans="2:27" s="38" customFormat="1" x14ac:dyDescent="0.25">
      <c r="B698" s="44"/>
      <c r="C698" s="174" t="str">
        <f>TEXT(data[[#This Row],[Fecha de Envío
Cotización]],"MMMM")</f>
        <v>abril</v>
      </c>
      <c r="D698" s="44">
        <v>44315</v>
      </c>
      <c r="E698" s="174" t="str">
        <f>IF(data[[#This Row],[Estatus de 
Cotización]]="PERDIDO","N/A","")</f>
        <v>N/A</v>
      </c>
      <c r="F698" s="44"/>
      <c r="G698" s="109"/>
      <c r="H698" s="44"/>
      <c r="I698" s="86">
        <v>512032</v>
      </c>
      <c r="J698" s="89">
        <v>1526</v>
      </c>
      <c r="K698" s="24" t="s">
        <v>109</v>
      </c>
      <c r="L698" s="39"/>
      <c r="M698" s="108" t="s">
        <v>1001</v>
      </c>
      <c r="N698" s="39">
        <v>1</v>
      </c>
      <c r="O698" s="40"/>
      <c r="P698" s="107">
        <v>2592.34</v>
      </c>
      <c r="Q698" s="28">
        <f>data[[#This Row],[Costo Producto
Proveedor ($/Unid)]]*data[[#This Row],[Cantidad]]</f>
        <v>0</v>
      </c>
      <c r="R698" s="28">
        <f>data[[#This Row],[Cantidad]]*data[[#This Row],[Precio de Venta Cliente ($/Unid)]]</f>
        <v>2592.34</v>
      </c>
      <c r="S698" s="29"/>
      <c r="T698" s="39" t="s">
        <v>134</v>
      </c>
      <c r="U698" s="39"/>
      <c r="V698" s="30" t="s">
        <v>42</v>
      </c>
      <c r="W698" s="32" t="s">
        <v>42</v>
      </c>
      <c r="X698" s="39" t="s">
        <v>23</v>
      </c>
      <c r="Y698" s="39" t="s">
        <v>23</v>
      </c>
      <c r="Z698" s="39" t="s">
        <v>50</v>
      </c>
      <c r="AA698" s="106"/>
    </row>
    <row r="699" spans="2:27" s="38" customFormat="1" x14ac:dyDescent="0.25">
      <c r="B699" s="44"/>
      <c r="C699" s="174" t="str">
        <f>TEXT(data[[#This Row],[Fecha de Envío
Cotización]],"MMMM")</f>
        <v>abril</v>
      </c>
      <c r="D699" s="44">
        <v>44315</v>
      </c>
      <c r="E699" s="174" t="str">
        <f>IF(data[[#This Row],[Estatus de 
Cotización]]="PERDIDO","N/A","")</f>
        <v>N/A</v>
      </c>
      <c r="F699" s="44"/>
      <c r="G699" s="109"/>
      <c r="H699" s="44"/>
      <c r="I699" s="86">
        <v>512033</v>
      </c>
      <c r="J699" s="89">
        <v>1527</v>
      </c>
      <c r="K699" s="24" t="s">
        <v>33</v>
      </c>
      <c r="L699" s="39"/>
      <c r="M699" s="108" t="s">
        <v>1002</v>
      </c>
      <c r="N699" s="39">
        <v>3</v>
      </c>
      <c r="O699" s="40"/>
      <c r="P699" s="107">
        <v>126.59</v>
      </c>
      <c r="Q699" s="28">
        <f>data[[#This Row],[Costo Producto
Proveedor ($/Unid)]]*data[[#This Row],[Cantidad]]</f>
        <v>0</v>
      </c>
      <c r="R699" s="28">
        <f>data[[#This Row],[Cantidad]]*data[[#This Row],[Precio de Venta Cliente ($/Unid)]]</f>
        <v>379.77</v>
      </c>
      <c r="S699" s="29"/>
      <c r="T699" s="106" t="s">
        <v>51</v>
      </c>
      <c r="U699" s="106"/>
      <c r="V699" s="30" t="s">
        <v>42</v>
      </c>
      <c r="W699" s="32" t="s">
        <v>42</v>
      </c>
      <c r="X699" s="39" t="s">
        <v>23</v>
      </c>
      <c r="Y699" s="39" t="s">
        <v>23</v>
      </c>
      <c r="Z699" s="39" t="s">
        <v>50</v>
      </c>
      <c r="AA699" s="106"/>
    </row>
    <row r="700" spans="2:27" s="38" customFormat="1" x14ac:dyDescent="0.25">
      <c r="B700" s="174"/>
      <c r="C700" s="174" t="str">
        <f>TEXT(data[[#This Row],[Fecha de Envío
Cotización]],"MMMM")</f>
        <v>abril</v>
      </c>
      <c r="D700" s="174">
        <v>44315</v>
      </c>
      <c r="E700" s="174" t="str">
        <f>IF(data[[#This Row],[Estatus de 
Cotización]]="PERDIDO","N/A","")</f>
        <v>N/A</v>
      </c>
      <c r="F700" s="174"/>
      <c r="G700" s="109"/>
      <c r="H700" s="174"/>
      <c r="I700" s="86">
        <v>512034</v>
      </c>
      <c r="J700" s="89">
        <v>1527</v>
      </c>
      <c r="K700" s="24" t="s">
        <v>33</v>
      </c>
      <c r="L700" s="106"/>
      <c r="M700" s="108" t="s">
        <v>1003</v>
      </c>
      <c r="N700" s="106">
        <v>1</v>
      </c>
      <c r="O700" s="107"/>
      <c r="P700" s="107">
        <v>380.55</v>
      </c>
      <c r="Q700" s="28">
        <f>data[[#This Row],[Costo Producto
Proveedor ($/Unid)]]*data[[#This Row],[Cantidad]]</f>
        <v>0</v>
      </c>
      <c r="R700" s="28">
        <f>data[[#This Row],[Cantidad]]*data[[#This Row],[Precio de Venta Cliente ($/Unid)]]</f>
        <v>380.55</v>
      </c>
      <c r="S700" s="29"/>
      <c r="T700" s="106" t="s">
        <v>51</v>
      </c>
      <c r="U700" s="106"/>
      <c r="V700" s="30" t="s">
        <v>42</v>
      </c>
      <c r="W700" s="32" t="s">
        <v>42</v>
      </c>
      <c r="X700" s="106" t="s">
        <v>23</v>
      </c>
      <c r="Y700" s="106" t="s">
        <v>23</v>
      </c>
      <c r="Z700" s="106" t="s">
        <v>50</v>
      </c>
      <c r="AA700" s="106"/>
    </row>
    <row r="701" spans="2:27" s="38" customFormat="1" x14ac:dyDescent="0.25">
      <c r="B701" s="174"/>
      <c r="C701" s="174" t="str">
        <f>TEXT(data[[#This Row],[Fecha de Envío
Cotización]],"MMMM")</f>
        <v>abril</v>
      </c>
      <c r="D701" s="174">
        <v>44315</v>
      </c>
      <c r="E701" s="174" t="str">
        <f>IF(data[[#This Row],[Estatus de 
Cotización]]="PERDIDO","N/A","")</f>
        <v>N/A</v>
      </c>
      <c r="F701" s="174"/>
      <c r="G701" s="109"/>
      <c r="H701" s="174"/>
      <c r="I701" s="86">
        <v>512035</v>
      </c>
      <c r="J701" s="89">
        <v>1528</v>
      </c>
      <c r="K701" s="24" t="s">
        <v>117</v>
      </c>
      <c r="L701" s="106"/>
      <c r="M701" s="108" t="s">
        <v>1004</v>
      </c>
      <c r="N701" s="106">
        <v>5</v>
      </c>
      <c r="O701" s="107"/>
      <c r="P701" s="107">
        <v>106.45</v>
      </c>
      <c r="Q701" s="28">
        <f>data[[#This Row],[Costo Producto
Proveedor ($/Unid)]]*data[[#This Row],[Cantidad]]</f>
        <v>0</v>
      </c>
      <c r="R701" s="28">
        <f>data[[#This Row],[Cantidad]]*data[[#This Row],[Precio de Venta Cliente ($/Unid)]]</f>
        <v>532.25</v>
      </c>
      <c r="S701" s="29"/>
      <c r="T701" s="106" t="s">
        <v>134</v>
      </c>
      <c r="U701" s="106"/>
      <c r="V701" s="30" t="s">
        <v>42</v>
      </c>
      <c r="W701" s="32" t="s">
        <v>42</v>
      </c>
      <c r="X701" s="106" t="s">
        <v>23</v>
      </c>
      <c r="Y701" s="106" t="s">
        <v>23</v>
      </c>
      <c r="Z701" s="106" t="s">
        <v>50</v>
      </c>
      <c r="AA701" s="106"/>
    </row>
    <row r="702" spans="2:27" s="38" customFormat="1" x14ac:dyDescent="0.25">
      <c r="B702" s="23"/>
      <c r="C702" s="174" t="str">
        <f>TEXT(data[[#This Row],[Fecha de Envío
Cotización]],"MMMM")</f>
        <v>abril</v>
      </c>
      <c r="D702" s="44">
        <v>44315</v>
      </c>
      <c r="E702" s="174" t="str">
        <f>IF(data[[#This Row],[Estatus de 
Cotización]]="PERDIDO","N/A","")</f>
        <v>N/A</v>
      </c>
      <c r="F702" s="23"/>
      <c r="G702" s="109"/>
      <c r="H702" s="23"/>
      <c r="I702" s="86">
        <v>512036</v>
      </c>
      <c r="J702" s="89">
        <v>1528</v>
      </c>
      <c r="K702" s="24" t="s">
        <v>117</v>
      </c>
      <c r="L702" s="39"/>
      <c r="M702" s="108" t="s">
        <v>1005</v>
      </c>
      <c r="N702" s="39">
        <v>4</v>
      </c>
      <c r="O702" s="40"/>
      <c r="P702" s="107">
        <v>233.59</v>
      </c>
      <c r="Q702" s="28">
        <f>data[[#This Row],[Costo Producto
Proveedor ($/Unid)]]*data[[#This Row],[Cantidad]]</f>
        <v>0</v>
      </c>
      <c r="R702" s="28">
        <f>data[[#This Row],[Cantidad]]*data[[#This Row],[Precio de Venta Cliente ($/Unid)]]</f>
        <v>934.36</v>
      </c>
      <c r="S702" s="29"/>
      <c r="T702" s="106" t="s">
        <v>134</v>
      </c>
      <c r="U702" s="106"/>
      <c r="V702" s="30" t="s">
        <v>42</v>
      </c>
      <c r="W702" s="32" t="s">
        <v>42</v>
      </c>
      <c r="X702" s="39" t="s">
        <v>23</v>
      </c>
      <c r="Y702" s="39" t="s">
        <v>23</v>
      </c>
      <c r="Z702" s="39" t="s">
        <v>50</v>
      </c>
      <c r="AA702" s="106"/>
    </row>
    <row r="703" spans="2:27" s="38" customFormat="1" x14ac:dyDescent="0.25">
      <c r="B703" s="44"/>
      <c r="C703" s="174" t="str">
        <f>TEXT(data[[#This Row],[Fecha de Envío
Cotización]],"MMMM")</f>
        <v>abril</v>
      </c>
      <c r="D703" s="44">
        <v>44315</v>
      </c>
      <c r="E703" s="174" t="str">
        <f>IF(data[[#This Row],[Estatus de 
Cotización]]="PERDIDO","N/A","")</f>
        <v>N/A</v>
      </c>
      <c r="F703" s="44"/>
      <c r="G703" s="109"/>
      <c r="H703" s="44"/>
      <c r="I703" s="86">
        <v>512037</v>
      </c>
      <c r="J703" s="89">
        <v>1528</v>
      </c>
      <c r="K703" s="24" t="s">
        <v>117</v>
      </c>
      <c r="L703" s="39"/>
      <c r="M703" s="108" t="s">
        <v>1006</v>
      </c>
      <c r="N703" s="39">
        <v>10</v>
      </c>
      <c r="O703" s="40"/>
      <c r="P703" s="107">
        <v>74.650000000000006</v>
      </c>
      <c r="Q703" s="28">
        <f>data[[#This Row],[Costo Producto
Proveedor ($/Unid)]]*data[[#This Row],[Cantidad]]</f>
        <v>0</v>
      </c>
      <c r="R703" s="28">
        <f>data[[#This Row],[Cantidad]]*data[[#This Row],[Precio de Venta Cliente ($/Unid)]]</f>
        <v>746.5</v>
      </c>
      <c r="S703" s="29"/>
      <c r="T703" s="106" t="s">
        <v>134</v>
      </c>
      <c r="U703" s="106"/>
      <c r="V703" s="30" t="s">
        <v>42</v>
      </c>
      <c r="W703" s="32" t="s">
        <v>42</v>
      </c>
      <c r="X703" s="39" t="s">
        <v>23</v>
      </c>
      <c r="Y703" s="39" t="s">
        <v>23</v>
      </c>
      <c r="Z703" s="39" t="s">
        <v>50</v>
      </c>
      <c r="AA703" s="106"/>
    </row>
    <row r="704" spans="2:27" s="38" customFormat="1" x14ac:dyDescent="0.25">
      <c r="B704" s="44"/>
      <c r="C704" s="174" t="str">
        <f>TEXT(data[[#This Row],[Fecha de Envío
Cotización]],"MMMM")</f>
        <v>abril</v>
      </c>
      <c r="D704" s="56">
        <v>44315</v>
      </c>
      <c r="E704" s="174" t="str">
        <f>IF(data[[#This Row],[Estatus de 
Cotización]]="PERDIDO","N/A","")</f>
        <v>N/A</v>
      </c>
      <c r="F704" s="44"/>
      <c r="G704" s="109"/>
      <c r="H704" s="44"/>
      <c r="I704" s="86">
        <v>512038</v>
      </c>
      <c r="J704" s="89">
        <v>1529</v>
      </c>
      <c r="K704" s="24" t="s">
        <v>117</v>
      </c>
      <c r="L704" s="106"/>
      <c r="M704" s="108" t="s">
        <v>1007</v>
      </c>
      <c r="N704" s="39">
        <v>1</v>
      </c>
      <c r="O704" s="40"/>
      <c r="P704" s="107">
        <v>114.74</v>
      </c>
      <c r="Q704" s="28">
        <f>data[[#This Row],[Costo Producto
Proveedor ($/Unid)]]*data[[#This Row],[Cantidad]]</f>
        <v>0</v>
      </c>
      <c r="R704" s="28">
        <f>data[[#This Row],[Cantidad]]*data[[#This Row],[Precio de Venta Cliente ($/Unid)]]</f>
        <v>114.74</v>
      </c>
      <c r="S704" s="29"/>
      <c r="T704" s="106" t="s">
        <v>134</v>
      </c>
      <c r="U704" s="106"/>
      <c r="V704" s="30" t="s">
        <v>42</v>
      </c>
      <c r="W704" s="32" t="s">
        <v>42</v>
      </c>
      <c r="X704" s="39" t="s">
        <v>23</v>
      </c>
      <c r="Y704" s="39" t="s">
        <v>23</v>
      </c>
      <c r="Z704" s="39" t="s">
        <v>50</v>
      </c>
      <c r="AA704" s="106"/>
    </row>
    <row r="705" spans="2:27" s="38" customFormat="1" x14ac:dyDescent="0.25">
      <c r="B705" s="35"/>
      <c r="C705" s="174" t="str">
        <f>TEXT(data[[#This Row],[Fecha de Envío
Cotización]],"MMMM")</f>
        <v>abril</v>
      </c>
      <c r="D705" s="84">
        <v>44315</v>
      </c>
      <c r="E705" s="174" t="str">
        <f>IF(data[[#This Row],[Estatus de 
Cotización]]="PERDIDO","N/A","")</f>
        <v>N/A</v>
      </c>
      <c r="F705" s="35"/>
      <c r="G705" s="109"/>
      <c r="H705" s="35"/>
      <c r="I705" s="86">
        <v>512039</v>
      </c>
      <c r="J705" s="89">
        <v>1529</v>
      </c>
      <c r="K705" s="24" t="s">
        <v>117</v>
      </c>
      <c r="L705" s="106"/>
      <c r="M705" s="108" t="s">
        <v>1008</v>
      </c>
      <c r="N705" s="39">
        <v>2</v>
      </c>
      <c r="O705" s="40"/>
      <c r="P705" s="107">
        <v>83.72</v>
      </c>
      <c r="Q705" s="28">
        <f>data[[#This Row],[Costo Producto
Proveedor ($/Unid)]]*data[[#This Row],[Cantidad]]</f>
        <v>0</v>
      </c>
      <c r="R705" s="28">
        <f>data[[#This Row],[Cantidad]]*data[[#This Row],[Precio de Venta Cliente ($/Unid)]]</f>
        <v>167.44</v>
      </c>
      <c r="S705" s="29"/>
      <c r="T705" s="106" t="s">
        <v>134</v>
      </c>
      <c r="U705" s="106"/>
      <c r="V705" s="30" t="s">
        <v>42</v>
      </c>
      <c r="W705" s="32" t="s">
        <v>42</v>
      </c>
      <c r="X705" s="39" t="s">
        <v>23</v>
      </c>
      <c r="Y705" s="39" t="s">
        <v>23</v>
      </c>
      <c r="Z705" s="39" t="s">
        <v>50</v>
      </c>
      <c r="AA705" s="106"/>
    </row>
    <row r="706" spans="2:27" s="50" customFormat="1" x14ac:dyDescent="0.25">
      <c r="B706" s="84"/>
      <c r="C706" s="174" t="str">
        <f>TEXT(data[[#This Row],[Fecha de Envío
Cotización]],"MMMM")</f>
        <v>abril</v>
      </c>
      <c r="D706" s="84">
        <v>44315</v>
      </c>
      <c r="E706" s="174" t="str">
        <f>IF(data[[#This Row],[Estatus de 
Cotización]]="PERDIDO","N/A","")</f>
        <v>N/A</v>
      </c>
      <c r="F706" s="84"/>
      <c r="G706" s="109"/>
      <c r="H706" s="84"/>
      <c r="I706" s="86">
        <v>512040</v>
      </c>
      <c r="J706" s="89">
        <v>1529</v>
      </c>
      <c r="K706" s="24" t="s">
        <v>117</v>
      </c>
      <c r="L706" s="106"/>
      <c r="M706" s="108" t="s">
        <v>1009</v>
      </c>
      <c r="N706" s="51">
        <v>1</v>
      </c>
      <c r="O706" s="52"/>
      <c r="P706" s="107">
        <v>385.51</v>
      </c>
      <c r="Q706" s="28">
        <f>data[[#This Row],[Costo Producto
Proveedor ($/Unid)]]*data[[#This Row],[Cantidad]]</f>
        <v>0</v>
      </c>
      <c r="R706" s="28">
        <f>data[[#This Row],[Cantidad]]*data[[#This Row],[Precio de Venta Cliente ($/Unid)]]</f>
        <v>385.51</v>
      </c>
      <c r="S706" s="29"/>
      <c r="T706" s="106" t="s">
        <v>134</v>
      </c>
      <c r="U706" s="106"/>
      <c r="V706" s="30" t="s">
        <v>42</v>
      </c>
      <c r="W706" s="32" t="s">
        <v>42</v>
      </c>
      <c r="X706" s="106" t="s">
        <v>23</v>
      </c>
      <c r="Y706" s="106" t="s">
        <v>23</v>
      </c>
      <c r="Z706" s="51" t="s">
        <v>50</v>
      </c>
      <c r="AA706" s="106"/>
    </row>
    <row r="707" spans="2:27" s="50" customFormat="1" x14ac:dyDescent="0.25">
      <c r="B707" s="84"/>
      <c r="C707" s="174" t="str">
        <f>TEXT(data[[#This Row],[Fecha de Envío
Cotización]],"MMMM")</f>
        <v>abril</v>
      </c>
      <c r="D707" s="84">
        <v>44315</v>
      </c>
      <c r="E707" s="174" t="str">
        <f>IF(data[[#This Row],[Estatus de 
Cotización]]="PERDIDO","N/A","")</f>
        <v>N/A</v>
      </c>
      <c r="F707" s="84"/>
      <c r="G707" s="109"/>
      <c r="H707" s="84"/>
      <c r="I707" s="86">
        <v>512041</v>
      </c>
      <c r="J707" s="89">
        <v>1529</v>
      </c>
      <c r="K707" s="24" t="s">
        <v>117</v>
      </c>
      <c r="L707" s="106"/>
      <c r="M707" s="108" t="s">
        <v>1010</v>
      </c>
      <c r="N707" s="51">
        <v>1</v>
      </c>
      <c r="O707" s="52"/>
      <c r="P707" s="107">
        <v>81.900000000000006</v>
      </c>
      <c r="Q707" s="28">
        <f>data[[#This Row],[Costo Producto
Proveedor ($/Unid)]]*data[[#This Row],[Cantidad]]</f>
        <v>0</v>
      </c>
      <c r="R707" s="28">
        <f>data[[#This Row],[Cantidad]]*data[[#This Row],[Precio de Venta Cliente ($/Unid)]]</f>
        <v>81.900000000000006</v>
      </c>
      <c r="S707" s="29"/>
      <c r="T707" s="106" t="s">
        <v>134</v>
      </c>
      <c r="U707" s="106"/>
      <c r="V707" s="30" t="s">
        <v>42</v>
      </c>
      <c r="W707" s="32" t="s">
        <v>42</v>
      </c>
      <c r="X707" s="106" t="s">
        <v>23</v>
      </c>
      <c r="Y707" s="106" t="s">
        <v>23</v>
      </c>
      <c r="Z707" s="51" t="s">
        <v>50</v>
      </c>
      <c r="AA707" s="106"/>
    </row>
    <row r="708" spans="2:27" s="50" customFormat="1" ht="15.75" x14ac:dyDescent="0.25">
      <c r="B708" s="174"/>
      <c r="C708" s="174" t="str">
        <f>TEXT(data[[#This Row],[Fecha de Envío
Cotización]],"MMMM")</f>
        <v>abril</v>
      </c>
      <c r="D708" s="174">
        <v>44315</v>
      </c>
      <c r="E708" s="174" t="str">
        <f>IF(data[[#This Row],[Estatus de 
Cotización]]="PERDIDO","N/A","")</f>
        <v>N/A</v>
      </c>
      <c r="F708" s="174"/>
      <c r="G708" s="109"/>
      <c r="H708" s="174"/>
      <c r="I708" s="86">
        <v>512042</v>
      </c>
      <c r="J708" s="89">
        <v>1530</v>
      </c>
      <c r="K708" s="24" t="s">
        <v>109</v>
      </c>
      <c r="L708" s="106"/>
      <c r="M708" s="108" t="s">
        <v>1100</v>
      </c>
      <c r="N708" s="106">
        <v>20</v>
      </c>
      <c r="O708" s="107"/>
      <c r="P708" s="107">
        <v>234.67</v>
      </c>
      <c r="Q708" s="28">
        <f>data[[#This Row],[Costo Producto
Proveedor ($/Unid)]]*data[[#This Row],[Cantidad]]</f>
        <v>0</v>
      </c>
      <c r="R708" s="28">
        <f>data[[#This Row],[Cantidad]]*data[[#This Row],[Precio de Venta Cliente ($/Unid)]]</f>
        <v>4693.3999999999996</v>
      </c>
      <c r="S708" s="4"/>
      <c r="T708" s="106" t="s">
        <v>22</v>
      </c>
      <c r="U708" s="106"/>
      <c r="V708" s="30" t="s">
        <v>42</v>
      </c>
      <c r="W708" s="32" t="s">
        <v>42</v>
      </c>
      <c r="X708" s="106" t="s">
        <v>23</v>
      </c>
      <c r="Y708" s="106" t="s">
        <v>23</v>
      </c>
      <c r="Z708" s="106" t="s">
        <v>50</v>
      </c>
      <c r="AA708" s="106"/>
    </row>
    <row r="709" spans="2:27" s="50" customFormat="1" ht="15.75" x14ac:dyDescent="0.25">
      <c r="B709" s="174"/>
      <c r="C709" s="174" t="str">
        <f>TEXT(data[[#This Row],[Fecha de Envío
Cotización]],"MMMM")</f>
        <v>mayo</v>
      </c>
      <c r="D709" s="174">
        <v>44319</v>
      </c>
      <c r="E709" s="174" t="str">
        <f>IF(data[[#This Row],[Estatus de 
Cotización]]="PERDIDO","N/A","")</f>
        <v>N/A</v>
      </c>
      <c r="F709" s="174"/>
      <c r="G709" s="109"/>
      <c r="H709" s="174"/>
      <c r="I709" s="86">
        <v>512061</v>
      </c>
      <c r="J709" s="89">
        <v>1531</v>
      </c>
      <c r="K709" s="24" t="s">
        <v>109</v>
      </c>
      <c r="L709" s="106"/>
      <c r="M709" s="108" t="s">
        <v>1101</v>
      </c>
      <c r="N709" s="106">
        <v>1</v>
      </c>
      <c r="O709" s="107"/>
      <c r="P709" s="107">
        <v>6381.24</v>
      </c>
      <c r="Q709" s="28">
        <f>data[[#This Row],[Costo Producto
Proveedor ($/Unid)]]*data[[#This Row],[Cantidad]]</f>
        <v>0</v>
      </c>
      <c r="R709" s="28">
        <f>data[[#This Row],[Cantidad]]*data[[#This Row],[Precio de Venta Cliente ($/Unid)]]</f>
        <v>6381.24</v>
      </c>
      <c r="S709" s="4"/>
      <c r="T709" s="106" t="s">
        <v>51</v>
      </c>
      <c r="U709" s="106"/>
      <c r="V709" s="30" t="s">
        <v>42</v>
      </c>
      <c r="W709" s="32" t="s">
        <v>42</v>
      </c>
      <c r="X709" s="106" t="s">
        <v>23</v>
      </c>
      <c r="Y709" s="106" t="s">
        <v>23</v>
      </c>
      <c r="Z709" s="106" t="s">
        <v>50</v>
      </c>
      <c r="AA709" s="106"/>
    </row>
    <row r="710" spans="2:27" s="50" customFormat="1" ht="15.75" x14ac:dyDescent="0.25">
      <c r="B710" s="84"/>
      <c r="C710" s="174" t="str">
        <f>TEXT(data[[#This Row],[Fecha de Envío
Cotización]],"MMMM")</f>
        <v>mayo</v>
      </c>
      <c r="D710" s="84">
        <v>44319</v>
      </c>
      <c r="E710" s="174" t="str">
        <f>IF(data[[#This Row],[Estatus de 
Cotización]]="PERDIDO","N/A","")</f>
        <v/>
      </c>
      <c r="F710" s="84"/>
      <c r="G710" s="109"/>
      <c r="H710" s="84"/>
      <c r="I710" s="86">
        <v>512062</v>
      </c>
      <c r="J710" s="89">
        <v>1532</v>
      </c>
      <c r="K710" s="24" t="s">
        <v>33</v>
      </c>
      <c r="L710" s="106"/>
      <c r="M710" s="108" t="s">
        <v>1102</v>
      </c>
      <c r="N710" s="51">
        <v>1</v>
      </c>
      <c r="O710" s="52"/>
      <c r="P710" s="107">
        <v>323.02</v>
      </c>
      <c r="Q710" s="28">
        <f>data[[#This Row],[Costo Producto
Proveedor ($/Unid)]]*data[[#This Row],[Cantidad]]</f>
        <v>0</v>
      </c>
      <c r="R710" s="28">
        <f>data[[#This Row],[Cantidad]]*data[[#This Row],[Precio de Venta Cliente ($/Unid)]]</f>
        <v>323.02</v>
      </c>
      <c r="S710" s="4"/>
      <c r="T710" s="106" t="s">
        <v>51</v>
      </c>
      <c r="U710" s="106"/>
      <c r="V710" s="30" t="s">
        <v>46</v>
      </c>
      <c r="W710" s="32" t="s">
        <v>46</v>
      </c>
      <c r="X710" s="51" t="s">
        <v>23</v>
      </c>
      <c r="Y710" s="51" t="s">
        <v>23</v>
      </c>
      <c r="Z710" s="51" t="s">
        <v>50</v>
      </c>
      <c r="AA710" s="106"/>
    </row>
    <row r="711" spans="2:27" s="50" customFormat="1" ht="15.75" x14ac:dyDescent="0.25">
      <c r="B711" s="174"/>
      <c r="C711" s="174" t="str">
        <f>TEXT(data[[#This Row],[Fecha de Envío
Cotización]],"MMMM")</f>
        <v>mayo</v>
      </c>
      <c r="D711" s="174">
        <v>44319</v>
      </c>
      <c r="E711" s="174" t="str">
        <f>IF(data[[#This Row],[Estatus de 
Cotización]]="PERDIDO","N/A","")</f>
        <v/>
      </c>
      <c r="F711" s="174"/>
      <c r="G711" s="109"/>
      <c r="H711" s="174"/>
      <c r="I711" s="86">
        <v>512063</v>
      </c>
      <c r="J711" s="89">
        <v>1533</v>
      </c>
      <c r="K711" s="24" t="s">
        <v>33</v>
      </c>
      <c r="L711" s="106"/>
      <c r="M711" s="108" t="s">
        <v>1103</v>
      </c>
      <c r="N711" s="106">
        <v>3</v>
      </c>
      <c r="O711" s="107"/>
      <c r="P711" s="107">
        <v>1680.28</v>
      </c>
      <c r="Q711" s="28">
        <f>data[[#This Row],[Costo Producto
Proveedor ($/Unid)]]*data[[#This Row],[Cantidad]]</f>
        <v>0</v>
      </c>
      <c r="R711" s="28">
        <f>data[[#This Row],[Cantidad]]*data[[#This Row],[Precio de Venta Cliente ($/Unid)]]</f>
        <v>5040.84</v>
      </c>
      <c r="S711" s="4"/>
      <c r="T711" s="106" t="s">
        <v>1099</v>
      </c>
      <c r="U711" s="106"/>
      <c r="V711" s="30" t="s">
        <v>46</v>
      </c>
      <c r="W711" s="32" t="s">
        <v>46</v>
      </c>
      <c r="X711" s="106" t="s">
        <v>23</v>
      </c>
      <c r="Y711" s="106" t="s">
        <v>23</v>
      </c>
      <c r="Z711" s="106" t="s">
        <v>50</v>
      </c>
      <c r="AA711" s="106"/>
    </row>
    <row r="712" spans="2:27" s="50" customFormat="1" x14ac:dyDescent="0.25">
      <c r="B712" s="174"/>
      <c r="C712" s="174" t="str">
        <f>TEXT(data[[#This Row],[Fecha de Envío
Cotización]],"MMMM")</f>
        <v>mayo</v>
      </c>
      <c r="D712" s="174">
        <v>44319</v>
      </c>
      <c r="E712" s="174" t="str">
        <f>IF(data[[#This Row],[Estatus de 
Cotización]]="PERDIDO","N/A","")</f>
        <v>N/A</v>
      </c>
      <c r="F712" s="174"/>
      <c r="G712" s="109"/>
      <c r="H712" s="174"/>
      <c r="I712" s="86">
        <v>512064</v>
      </c>
      <c r="J712" s="89">
        <v>1534</v>
      </c>
      <c r="K712" s="24" t="s">
        <v>109</v>
      </c>
      <c r="L712" s="106"/>
      <c r="M712" s="108" t="s">
        <v>1104</v>
      </c>
      <c r="N712" s="106">
        <v>1</v>
      </c>
      <c r="O712" s="107"/>
      <c r="P712" s="107">
        <v>289.95999999999998</v>
      </c>
      <c r="Q712" s="28">
        <f>data[[#This Row],[Costo Producto
Proveedor ($/Unid)]]*data[[#This Row],[Cantidad]]</f>
        <v>0</v>
      </c>
      <c r="R712" s="28">
        <f>data[[#This Row],[Cantidad]]*data[[#This Row],[Precio de Venta Cliente ($/Unid)]]</f>
        <v>289.95999999999998</v>
      </c>
      <c r="S712" s="29"/>
      <c r="T712" s="106" t="s">
        <v>51</v>
      </c>
      <c r="U712" s="106"/>
      <c r="V712" s="30" t="s">
        <v>42</v>
      </c>
      <c r="W712" s="32" t="s">
        <v>42</v>
      </c>
      <c r="X712" s="106" t="s">
        <v>23</v>
      </c>
      <c r="Y712" s="106" t="s">
        <v>23</v>
      </c>
      <c r="Z712" s="106" t="s">
        <v>50</v>
      </c>
      <c r="AA712" s="106"/>
    </row>
    <row r="713" spans="2:27" s="50" customFormat="1" x14ac:dyDescent="0.25">
      <c r="B713" s="84"/>
      <c r="C713" s="174" t="str">
        <f>TEXT(data[[#This Row],[Fecha de Envío
Cotización]],"MMMM")</f>
        <v>mayo</v>
      </c>
      <c r="D713" s="84">
        <v>44320</v>
      </c>
      <c r="E713" s="174" t="str">
        <f>IF(data[[#This Row],[Estatus de 
Cotización]]="PERDIDO","N/A","")</f>
        <v/>
      </c>
      <c r="F713" s="84"/>
      <c r="G713" s="109"/>
      <c r="H713" s="84"/>
      <c r="I713" s="86">
        <v>512067</v>
      </c>
      <c r="J713" s="89">
        <v>1535</v>
      </c>
      <c r="K713" s="24" t="s">
        <v>126</v>
      </c>
      <c r="L713" s="51"/>
      <c r="M713" s="108" t="s">
        <v>1146</v>
      </c>
      <c r="N713" s="51">
        <v>1</v>
      </c>
      <c r="O713" s="52"/>
      <c r="P713" s="107">
        <v>520.85</v>
      </c>
      <c r="Q713" s="28">
        <f>data[[#This Row],[Costo Producto
Proveedor ($/Unid)]]*data[[#This Row],[Cantidad]]</f>
        <v>0</v>
      </c>
      <c r="R713" s="28">
        <f>data[[#This Row],[Cantidad]]*data[[#This Row],[Precio de Venta Cliente ($/Unid)]]</f>
        <v>520.85</v>
      </c>
      <c r="S713" s="29"/>
      <c r="T713" s="51" t="s">
        <v>51</v>
      </c>
      <c r="U713" s="51"/>
      <c r="V713" s="30" t="s">
        <v>46</v>
      </c>
      <c r="W713" s="32" t="s">
        <v>46</v>
      </c>
      <c r="X713" s="51" t="s">
        <v>23</v>
      </c>
      <c r="Y713" s="51" t="s">
        <v>23</v>
      </c>
      <c r="Z713" s="51" t="s">
        <v>50</v>
      </c>
      <c r="AA713" s="106"/>
    </row>
    <row r="714" spans="2:27" s="50" customFormat="1" x14ac:dyDescent="0.25">
      <c r="B714" s="84"/>
      <c r="C714" s="174" t="str">
        <f>TEXT(data[[#This Row],[Fecha de Envío
Cotización]],"MMMM")</f>
        <v>mayo</v>
      </c>
      <c r="D714" s="84">
        <v>44320</v>
      </c>
      <c r="E714" s="174" t="str">
        <f>IF(data[[#This Row],[Estatus de 
Cotización]]="PERDIDO","N/A","")</f>
        <v/>
      </c>
      <c r="F714" s="84"/>
      <c r="G714" s="109"/>
      <c r="H714" s="84"/>
      <c r="I714" s="86">
        <v>512068</v>
      </c>
      <c r="J714" s="89">
        <v>1536</v>
      </c>
      <c r="K714" s="24" t="s">
        <v>33</v>
      </c>
      <c r="L714" s="51"/>
      <c r="M714" s="108" t="s">
        <v>1147</v>
      </c>
      <c r="N714" s="51">
        <v>8</v>
      </c>
      <c r="O714" s="52"/>
      <c r="P714" s="107">
        <v>1014.59</v>
      </c>
      <c r="Q714" s="28">
        <f>data[[#This Row],[Costo Producto
Proveedor ($/Unid)]]*data[[#This Row],[Cantidad]]</f>
        <v>0</v>
      </c>
      <c r="R714" s="28">
        <f>data[[#This Row],[Cantidad]]*data[[#This Row],[Precio de Venta Cliente ($/Unid)]]</f>
        <v>8116.72</v>
      </c>
      <c r="S714" s="114"/>
      <c r="T714" s="51" t="s">
        <v>926</v>
      </c>
      <c r="U714" s="51"/>
      <c r="V714" s="30" t="s">
        <v>46</v>
      </c>
      <c r="W714" s="32" t="s">
        <v>46</v>
      </c>
      <c r="X714" s="51" t="s">
        <v>23</v>
      </c>
      <c r="Y714" s="51" t="s">
        <v>23</v>
      </c>
      <c r="Z714" s="51" t="s">
        <v>50</v>
      </c>
      <c r="AA714" s="106"/>
    </row>
    <row r="715" spans="2:27" s="50" customFormat="1" x14ac:dyDescent="0.25">
      <c r="B715" s="84"/>
      <c r="C715" s="174" t="str">
        <f>TEXT(data[[#This Row],[Fecha de Envío
Cotización]],"MMMM")</f>
        <v>mayo</v>
      </c>
      <c r="D715" s="84">
        <v>44320</v>
      </c>
      <c r="E715" s="174" t="str">
        <f>IF(data[[#This Row],[Estatus de 
Cotización]]="PERDIDO","N/A","")</f>
        <v/>
      </c>
      <c r="F715" s="84"/>
      <c r="G715" s="109"/>
      <c r="H715" s="84"/>
      <c r="I715" s="86">
        <v>512069</v>
      </c>
      <c r="J715" s="89">
        <v>1537</v>
      </c>
      <c r="K715" s="24" t="s">
        <v>33</v>
      </c>
      <c r="L715" s="51"/>
      <c r="M715" s="108" t="s">
        <v>1148</v>
      </c>
      <c r="N715" s="51">
        <v>3</v>
      </c>
      <c r="O715" s="52"/>
      <c r="P715" s="107">
        <v>1763.6</v>
      </c>
      <c r="Q715" s="28">
        <f>data[[#This Row],[Costo Producto
Proveedor ($/Unid)]]*data[[#This Row],[Cantidad]]</f>
        <v>0</v>
      </c>
      <c r="R715" s="28">
        <f>data[[#This Row],[Cantidad]]*data[[#This Row],[Precio de Venta Cliente ($/Unid)]]</f>
        <v>5290.7999999999993</v>
      </c>
      <c r="S715" s="114"/>
      <c r="T715" s="51" t="s">
        <v>926</v>
      </c>
      <c r="U715" s="51"/>
      <c r="V715" s="30" t="s">
        <v>46</v>
      </c>
      <c r="W715" s="32" t="s">
        <v>46</v>
      </c>
      <c r="X715" s="51" t="s">
        <v>23</v>
      </c>
      <c r="Y715" s="51" t="s">
        <v>23</v>
      </c>
      <c r="Z715" s="51" t="s">
        <v>50</v>
      </c>
      <c r="AA715" s="106"/>
    </row>
    <row r="716" spans="2:27" s="50" customFormat="1" x14ac:dyDescent="0.25">
      <c r="B716" s="84"/>
      <c r="C716" s="174" t="str">
        <f>TEXT(data[[#This Row],[Fecha de Envío
Cotización]],"MMMM")</f>
        <v>mayo</v>
      </c>
      <c r="D716" s="84">
        <v>44320</v>
      </c>
      <c r="E716" s="174" t="str">
        <f>IF(data[[#This Row],[Estatus de 
Cotización]]="PERDIDO","N/A","")</f>
        <v>N/A</v>
      </c>
      <c r="F716" s="84"/>
      <c r="G716" s="109"/>
      <c r="H716" s="84"/>
      <c r="I716" s="86">
        <v>512070</v>
      </c>
      <c r="J716" s="89">
        <v>1538</v>
      </c>
      <c r="K716" s="24" t="s">
        <v>55</v>
      </c>
      <c r="L716" s="51"/>
      <c r="M716" s="108" t="s">
        <v>1149</v>
      </c>
      <c r="N716" s="51">
        <v>10</v>
      </c>
      <c r="O716" s="52"/>
      <c r="P716" s="107">
        <v>132.57</v>
      </c>
      <c r="Q716" s="28">
        <f>data[[#This Row],[Costo Producto
Proveedor ($/Unid)]]*data[[#This Row],[Cantidad]]</f>
        <v>0</v>
      </c>
      <c r="R716" s="28">
        <f>data[[#This Row],[Cantidad]]*data[[#This Row],[Precio de Venta Cliente ($/Unid)]]</f>
        <v>1325.6999999999998</v>
      </c>
      <c r="S716" s="114"/>
      <c r="T716" s="51" t="s">
        <v>51</v>
      </c>
      <c r="U716" s="51"/>
      <c r="V716" s="30" t="s">
        <v>42</v>
      </c>
      <c r="W716" s="32" t="s">
        <v>42</v>
      </c>
      <c r="X716" s="51" t="s">
        <v>23</v>
      </c>
      <c r="Y716" s="51" t="s">
        <v>23</v>
      </c>
      <c r="Z716" s="51" t="s">
        <v>50</v>
      </c>
      <c r="AA716" s="106"/>
    </row>
    <row r="717" spans="2:27" s="50" customFormat="1" x14ac:dyDescent="0.25">
      <c r="B717" s="84"/>
      <c r="C717" s="174" t="str">
        <f>TEXT(data[[#This Row],[Fecha de Envío
Cotización]],"MMMM")</f>
        <v>mayo</v>
      </c>
      <c r="D717" s="84">
        <v>44320</v>
      </c>
      <c r="E717" s="174" t="str">
        <f>IF(data[[#This Row],[Estatus de 
Cotización]]="PERDIDO","N/A","")</f>
        <v>N/A</v>
      </c>
      <c r="F717" s="84"/>
      <c r="G717" s="109"/>
      <c r="H717" s="84"/>
      <c r="I717" s="86">
        <v>512071</v>
      </c>
      <c r="J717" s="89">
        <v>1538</v>
      </c>
      <c r="K717" s="24" t="s">
        <v>55</v>
      </c>
      <c r="L717" s="51"/>
      <c r="M717" s="108" t="s">
        <v>1150</v>
      </c>
      <c r="N717" s="51">
        <v>20</v>
      </c>
      <c r="O717" s="52"/>
      <c r="P717" s="107">
        <v>130.25</v>
      </c>
      <c r="Q717" s="28">
        <f>data[[#This Row],[Costo Producto
Proveedor ($/Unid)]]*data[[#This Row],[Cantidad]]</f>
        <v>0</v>
      </c>
      <c r="R717" s="28">
        <f>data[[#This Row],[Cantidad]]*data[[#This Row],[Precio de Venta Cliente ($/Unid)]]</f>
        <v>2605</v>
      </c>
      <c r="S717" s="114"/>
      <c r="T717" s="51" t="s">
        <v>51</v>
      </c>
      <c r="U717" s="51"/>
      <c r="V717" s="30" t="s">
        <v>42</v>
      </c>
      <c r="W717" s="32" t="s">
        <v>42</v>
      </c>
      <c r="X717" s="51" t="s">
        <v>23</v>
      </c>
      <c r="Y717" s="51" t="s">
        <v>23</v>
      </c>
      <c r="Z717" s="51" t="s">
        <v>50</v>
      </c>
      <c r="AA717" s="106"/>
    </row>
    <row r="718" spans="2:27" s="50" customFormat="1" x14ac:dyDescent="0.25">
      <c r="B718" s="174"/>
      <c r="C718" s="174" t="str">
        <f>TEXT(data[[#This Row],[Fecha de Envío
Cotización]],"MMMM")</f>
        <v>mayo</v>
      </c>
      <c r="D718" s="174">
        <v>44320</v>
      </c>
      <c r="E718" s="174" t="str">
        <f>IF(data[[#This Row],[Estatus de 
Cotización]]="PERDIDO","N/A","")</f>
        <v>N/A</v>
      </c>
      <c r="F718" s="174"/>
      <c r="G718" s="109"/>
      <c r="H718" s="174"/>
      <c r="I718" s="86">
        <v>512072</v>
      </c>
      <c r="J718" s="89">
        <v>1538</v>
      </c>
      <c r="K718" s="24" t="s">
        <v>55</v>
      </c>
      <c r="L718" s="106"/>
      <c r="M718" s="108" t="s">
        <v>1151</v>
      </c>
      <c r="N718" s="106">
        <v>15</v>
      </c>
      <c r="O718" s="107"/>
      <c r="P718" s="107">
        <v>16.18</v>
      </c>
      <c r="Q718" s="28">
        <f>data[[#This Row],[Costo Producto
Proveedor ($/Unid)]]*data[[#This Row],[Cantidad]]</f>
        <v>0</v>
      </c>
      <c r="R718" s="28">
        <f>data[[#This Row],[Cantidad]]*data[[#This Row],[Precio de Venta Cliente ($/Unid)]]</f>
        <v>242.7</v>
      </c>
      <c r="S718" s="114"/>
      <c r="T718" s="106" t="s">
        <v>51</v>
      </c>
      <c r="U718" s="106"/>
      <c r="V718" s="30" t="s">
        <v>42</v>
      </c>
      <c r="W718" s="32" t="s">
        <v>42</v>
      </c>
      <c r="X718" s="106" t="s">
        <v>23</v>
      </c>
      <c r="Y718" s="106" t="s">
        <v>23</v>
      </c>
      <c r="Z718" s="106" t="s">
        <v>50</v>
      </c>
      <c r="AA718" s="106"/>
    </row>
    <row r="719" spans="2:27" s="50" customFormat="1" x14ac:dyDescent="0.25">
      <c r="B719" s="174"/>
      <c r="C719" s="174" t="str">
        <f>TEXT(data[[#This Row],[Fecha de Envío
Cotización]],"MMMM")</f>
        <v>mayo</v>
      </c>
      <c r="D719" s="174">
        <v>44320</v>
      </c>
      <c r="E719" s="174" t="str">
        <f>IF(data[[#This Row],[Estatus de 
Cotización]]="PERDIDO","N/A","")</f>
        <v>N/A</v>
      </c>
      <c r="F719" s="174"/>
      <c r="G719" s="109"/>
      <c r="H719" s="174"/>
      <c r="I719" s="86">
        <v>512073</v>
      </c>
      <c r="J719" s="89">
        <v>1538</v>
      </c>
      <c r="K719" s="24" t="s">
        <v>55</v>
      </c>
      <c r="L719" s="106"/>
      <c r="M719" s="108" t="s">
        <v>1152</v>
      </c>
      <c r="N719" s="106">
        <v>15</v>
      </c>
      <c r="O719" s="107"/>
      <c r="P719" s="107">
        <v>35.76</v>
      </c>
      <c r="Q719" s="28">
        <f>data[[#This Row],[Costo Producto
Proveedor ($/Unid)]]*data[[#This Row],[Cantidad]]</f>
        <v>0</v>
      </c>
      <c r="R719" s="28">
        <f>data[[#This Row],[Cantidad]]*data[[#This Row],[Precio de Venta Cliente ($/Unid)]]</f>
        <v>536.4</v>
      </c>
      <c r="S719" s="29"/>
      <c r="T719" s="106" t="s">
        <v>51</v>
      </c>
      <c r="U719" s="106"/>
      <c r="V719" s="30" t="s">
        <v>42</v>
      </c>
      <c r="W719" s="32" t="s">
        <v>42</v>
      </c>
      <c r="X719" s="106" t="s">
        <v>23</v>
      </c>
      <c r="Y719" s="106" t="s">
        <v>23</v>
      </c>
      <c r="Z719" s="106" t="s">
        <v>50</v>
      </c>
      <c r="AA719" s="106"/>
    </row>
    <row r="720" spans="2:27" s="50" customFormat="1" x14ac:dyDescent="0.25">
      <c r="B720" s="174"/>
      <c r="C720" s="174" t="str">
        <f>TEXT(data[[#This Row],[Fecha de Envío
Cotización]],"MMMM")</f>
        <v>mayo</v>
      </c>
      <c r="D720" s="174">
        <v>44320</v>
      </c>
      <c r="E720" s="174" t="str">
        <f>IF(data[[#This Row],[Estatus de 
Cotización]]="PERDIDO","N/A","")</f>
        <v/>
      </c>
      <c r="F720" s="174"/>
      <c r="G720" s="109"/>
      <c r="H720" s="174"/>
      <c r="I720" s="86">
        <v>512074</v>
      </c>
      <c r="J720" s="89">
        <v>1539</v>
      </c>
      <c r="K720" s="24" t="s">
        <v>126</v>
      </c>
      <c r="L720" s="106"/>
      <c r="M720" s="108" t="s">
        <v>1153</v>
      </c>
      <c r="N720" s="106">
        <v>3</v>
      </c>
      <c r="O720" s="107"/>
      <c r="P720" s="107">
        <v>45.8</v>
      </c>
      <c r="Q720" s="28">
        <f>data[[#This Row],[Costo Producto
Proveedor ($/Unid)]]*data[[#This Row],[Cantidad]]</f>
        <v>0</v>
      </c>
      <c r="R720" s="28">
        <f>data[[#This Row],[Cantidad]]*data[[#This Row],[Precio de Venta Cliente ($/Unid)]]</f>
        <v>137.39999999999998</v>
      </c>
      <c r="S720" s="29"/>
      <c r="T720" s="106" t="s">
        <v>119</v>
      </c>
      <c r="U720" s="106"/>
      <c r="V720" s="30" t="s">
        <v>46</v>
      </c>
      <c r="W720" s="32" t="s">
        <v>46</v>
      </c>
      <c r="X720" s="106" t="s">
        <v>23</v>
      </c>
      <c r="Y720" s="106" t="s">
        <v>23</v>
      </c>
      <c r="Z720" s="106" t="s">
        <v>50</v>
      </c>
      <c r="AA720" s="106"/>
    </row>
    <row r="721" spans="2:27" s="50" customFormat="1" x14ac:dyDescent="0.25">
      <c r="B721" s="174"/>
      <c r="C721" s="174" t="str">
        <f>TEXT(data[[#This Row],[Fecha de Envío
Cotización]],"MMMM")</f>
        <v>mayo</v>
      </c>
      <c r="D721" s="174">
        <v>44321</v>
      </c>
      <c r="E721" s="174" t="str">
        <f>IF(data[[#This Row],[Estatus de 
Cotización]]="PERDIDO","N/A","")</f>
        <v/>
      </c>
      <c r="F721" s="174"/>
      <c r="G721" s="109"/>
      <c r="H721" s="174"/>
      <c r="I721" s="86">
        <v>512087</v>
      </c>
      <c r="J721" s="89">
        <v>1541</v>
      </c>
      <c r="K721" s="24" t="s">
        <v>1109</v>
      </c>
      <c r="L721" s="106"/>
      <c r="M721" s="108" t="s">
        <v>1248</v>
      </c>
      <c r="N721" s="106">
        <v>2</v>
      </c>
      <c r="O721" s="107"/>
      <c r="P721" s="107">
        <v>452.41</v>
      </c>
      <c r="Q721" s="28">
        <f>data[[#This Row],[Costo Producto
Proveedor ($/Unid)]]*data[[#This Row],[Cantidad]]</f>
        <v>0</v>
      </c>
      <c r="R721" s="28">
        <f>data[[#This Row],[Cantidad]]*data[[#This Row],[Precio de Venta Cliente ($/Unid)]]</f>
        <v>904.82</v>
      </c>
      <c r="S721" s="29"/>
      <c r="T721" s="106" t="s">
        <v>134</v>
      </c>
      <c r="U721" s="106"/>
      <c r="V721" s="30" t="s">
        <v>46</v>
      </c>
      <c r="W721" s="32" t="s">
        <v>46</v>
      </c>
      <c r="X721" s="106" t="s">
        <v>23</v>
      </c>
      <c r="Y721" s="106" t="s">
        <v>23</v>
      </c>
      <c r="Z721" s="106" t="s">
        <v>50</v>
      </c>
      <c r="AA721" s="106"/>
    </row>
    <row r="722" spans="2:27" s="50" customFormat="1" x14ac:dyDescent="0.25">
      <c r="B722" s="84"/>
      <c r="C722" s="174" t="str">
        <f>TEXT(data[[#This Row],[Fecha de Envío
Cotización]],"MMMM")</f>
        <v>junio</v>
      </c>
      <c r="D722" s="124">
        <v>44354</v>
      </c>
      <c r="E722" s="174" t="str">
        <f>IF(data[[#This Row],[Estatus de 
Cotización]]="PERDIDO","N/A","")</f>
        <v/>
      </c>
      <c r="F722" s="84"/>
      <c r="G722" s="109"/>
      <c r="H722" s="84"/>
      <c r="I722" s="86" t="s">
        <v>1963</v>
      </c>
      <c r="J722" s="106">
        <v>721</v>
      </c>
      <c r="K722" s="110" t="s">
        <v>283</v>
      </c>
      <c r="L722" s="51"/>
      <c r="M722" s="105" t="s">
        <v>1965</v>
      </c>
      <c r="N722" s="51">
        <v>1</v>
      </c>
      <c r="O722" s="52"/>
      <c r="P722" s="107">
        <v>4993.8100000000004</v>
      </c>
      <c r="Q722" s="28">
        <f>data[[#This Row],[Costo Producto
Proveedor ($/Unid)]]*data[[#This Row],[Cantidad]]</f>
        <v>0</v>
      </c>
      <c r="R722" s="28">
        <f>data[[#This Row],[Cantidad]]*data[[#This Row],[Precio de Venta Cliente ($/Unid)]]</f>
        <v>4993.8100000000004</v>
      </c>
      <c r="S722" s="29"/>
      <c r="T722" s="109" t="s">
        <v>22</v>
      </c>
      <c r="U722" s="109"/>
      <c r="V722" s="30" t="s">
        <v>46</v>
      </c>
      <c r="W722" s="32" t="s">
        <v>46</v>
      </c>
      <c r="X722" s="51" t="s">
        <v>23</v>
      </c>
      <c r="Y722" s="51" t="s">
        <v>23</v>
      </c>
      <c r="Z722" s="51" t="s">
        <v>50</v>
      </c>
      <c r="AA722" s="109"/>
    </row>
    <row r="723" spans="2:27" s="50" customFormat="1" x14ac:dyDescent="0.25">
      <c r="B723" s="84"/>
      <c r="C723" s="174" t="str">
        <f>TEXT(data[[#This Row],[Fecha de Envío
Cotización]],"MMMM")</f>
        <v>mayo</v>
      </c>
      <c r="D723" s="84">
        <v>44321</v>
      </c>
      <c r="E723" s="174" t="str">
        <f>IF(data[[#This Row],[Estatus de 
Cotización]]="PERDIDO","N/A","")</f>
        <v/>
      </c>
      <c r="F723" s="84"/>
      <c r="G723" s="109"/>
      <c r="H723" s="84"/>
      <c r="I723" s="86">
        <v>512089</v>
      </c>
      <c r="J723" s="87">
        <v>1543</v>
      </c>
      <c r="K723" s="24" t="s">
        <v>123</v>
      </c>
      <c r="L723" s="51"/>
      <c r="M723" s="53" t="s">
        <v>1258</v>
      </c>
      <c r="N723" s="51">
        <v>3</v>
      </c>
      <c r="O723" s="52"/>
      <c r="P723" s="107">
        <v>306.26</v>
      </c>
      <c r="Q723" s="28">
        <f>data[[#This Row],[Costo Producto
Proveedor ($/Unid)]]*data[[#This Row],[Cantidad]]</f>
        <v>0</v>
      </c>
      <c r="R723" s="28">
        <f>data[[#This Row],[Cantidad]]*data[[#This Row],[Precio de Venta Cliente ($/Unid)]]</f>
        <v>918.78</v>
      </c>
      <c r="S723" s="29"/>
      <c r="T723" s="51" t="s">
        <v>51</v>
      </c>
      <c r="U723" s="51"/>
      <c r="V723" s="30" t="s">
        <v>46</v>
      </c>
      <c r="W723" s="32" t="s">
        <v>46</v>
      </c>
      <c r="X723" s="51" t="s">
        <v>23</v>
      </c>
      <c r="Y723" s="51" t="s">
        <v>23</v>
      </c>
      <c r="Z723" s="51" t="s">
        <v>50</v>
      </c>
      <c r="AA723" s="106"/>
    </row>
    <row r="724" spans="2:27" s="50" customFormat="1" x14ac:dyDescent="0.25">
      <c r="B724" s="84"/>
      <c r="C724" s="174" t="str">
        <f>TEXT(data[[#This Row],[Fecha de Envío
Cotización]],"MMMM")</f>
        <v>mayo</v>
      </c>
      <c r="D724" s="84">
        <v>44322</v>
      </c>
      <c r="E724" s="174" t="str">
        <f>IF(data[[#This Row],[Estatus de 
Cotización]]="PERDIDO","N/A","")</f>
        <v/>
      </c>
      <c r="F724" s="84"/>
      <c r="G724" s="109"/>
      <c r="H724" s="84"/>
      <c r="I724" s="86">
        <v>512096</v>
      </c>
      <c r="J724" s="87">
        <v>1544</v>
      </c>
      <c r="K724" s="24" t="s">
        <v>1109</v>
      </c>
      <c r="L724" s="51"/>
      <c r="M724" s="108" t="s">
        <v>1355</v>
      </c>
      <c r="N724" s="51">
        <v>1</v>
      </c>
      <c r="O724" s="52"/>
      <c r="P724" s="107">
        <v>141.13</v>
      </c>
      <c r="Q724" s="28">
        <f>data[[#This Row],[Costo Producto
Proveedor ($/Unid)]]*data[[#This Row],[Cantidad]]</f>
        <v>0</v>
      </c>
      <c r="R724" s="28">
        <f>data[[#This Row],[Cantidad]]*data[[#This Row],[Precio de Venta Cliente ($/Unid)]]</f>
        <v>141.13</v>
      </c>
      <c r="S724" s="29"/>
      <c r="T724" s="51" t="s">
        <v>51</v>
      </c>
      <c r="U724" s="51"/>
      <c r="V724" s="30" t="s">
        <v>46</v>
      </c>
      <c r="W724" s="32" t="s">
        <v>46</v>
      </c>
      <c r="X724" s="51" t="s">
        <v>23</v>
      </c>
      <c r="Y724" s="51" t="s">
        <v>23</v>
      </c>
      <c r="Z724" s="51" t="s">
        <v>50</v>
      </c>
      <c r="AA724" s="106"/>
    </row>
    <row r="725" spans="2:27" s="50" customFormat="1" x14ac:dyDescent="0.25">
      <c r="B725" s="174"/>
      <c r="C725" s="174" t="str">
        <f>TEXT(data[[#This Row],[Fecha de Envío
Cotización]],"MMMM")</f>
        <v>mayo</v>
      </c>
      <c r="D725" s="174">
        <v>44322</v>
      </c>
      <c r="E725" s="174" t="str">
        <f>IF(data[[#This Row],[Estatus de 
Cotización]]="PERDIDO","N/A","")</f>
        <v/>
      </c>
      <c r="F725" s="174"/>
      <c r="G725" s="109"/>
      <c r="H725" s="174"/>
      <c r="I725" s="86">
        <v>512097</v>
      </c>
      <c r="J725" s="87">
        <v>1545</v>
      </c>
      <c r="K725" s="24" t="s">
        <v>1109</v>
      </c>
      <c r="L725" s="106"/>
      <c r="M725" s="108" t="s">
        <v>1356</v>
      </c>
      <c r="N725" s="106">
        <v>4</v>
      </c>
      <c r="O725" s="107"/>
      <c r="P725" s="107">
        <v>68.5</v>
      </c>
      <c r="Q725" s="28">
        <f>data[[#This Row],[Costo Producto
Proveedor ($/Unid)]]*data[[#This Row],[Cantidad]]</f>
        <v>0</v>
      </c>
      <c r="R725" s="28">
        <f>data[[#This Row],[Cantidad]]*data[[#This Row],[Precio de Venta Cliente ($/Unid)]]</f>
        <v>274</v>
      </c>
      <c r="S725" s="29"/>
      <c r="T725" s="106" t="s">
        <v>51</v>
      </c>
      <c r="U725" s="106"/>
      <c r="V725" s="30" t="s">
        <v>46</v>
      </c>
      <c r="W725" s="32" t="s">
        <v>46</v>
      </c>
      <c r="X725" s="106" t="s">
        <v>23</v>
      </c>
      <c r="Y725" s="106" t="s">
        <v>23</v>
      </c>
      <c r="Z725" s="106" t="s">
        <v>50</v>
      </c>
      <c r="AA725" s="106"/>
    </row>
    <row r="726" spans="2:27" s="50" customFormat="1" x14ac:dyDescent="0.25">
      <c r="B726" s="174"/>
      <c r="C726" s="174" t="str">
        <f>TEXT(data[[#This Row],[Fecha de Envío
Cotización]],"MMMM")</f>
        <v>mayo</v>
      </c>
      <c r="D726" s="174">
        <v>44322</v>
      </c>
      <c r="E726" s="174" t="str">
        <f>IF(data[[#This Row],[Estatus de 
Cotización]]="PERDIDO","N/A","")</f>
        <v/>
      </c>
      <c r="F726" s="174"/>
      <c r="G726" s="109"/>
      <c r="H726" s="174"/>
      <c r="I726" s="86">
        <v>512098</v>
      </c>
      <c r="J726" s="87">
        <v>1546</v>
      </c>
      <c r="K726" s="24" t="s">
        <v>1109</v>
      </c>
      <c r="L726" s="106"/>
      <c r="M726" s="108" t="s">
        <v>1357</v>
      </c>
      <c r="N726" s="106">
        <v>12</v>
      </c>
      <c r="O726" s="107"/>
      <c r="P726" s="107">
        <v>70.209999999999994</v>
      </c>
      <c r="Q726" s="28">
        <f>data[[#This Row],[Costo Producto
Proveedor ($/Unid)]]*data[[#This Row],[Cantidad]]</f>
        <v>0</v>
      </c>
      <c r="R726" s="28">
        <f>data[[#This Row],[Cantidad]]*data[[#This Row],[Precio de Venta Cliente ($/Unid)]]</f>
        <v>842.52</v>
      </c>
      <c r="S726" s="29"/>
      <c r="T726" s="106" t="s">
        <v>51</v>
      </c>
      <c r="U726" s="106"/>
      <c r="V726" s="30" t="s">
        <v>46</v>
      </c>
      <c r="W726" s="32" t="s">
        <v>46</v>
      </c>
      <c r="X726" s="106" t="s">
        <v>23</v>
      </c>
      <c r="Y726" s="106" t="s">
        <v>23</v>
      </c>
      <c r="Z726" s="106" t="s">
        <v>50</v>
      </c>
      <c r="AA726" s="106"/>
    </row>
    <row r="727" spans="2:27" s="50" customFormat="1" x14ac:dyDescent="0.25">
      <c r="B727" s="174"/>
      <c r="C727" s="174" t="str">
        <f>TEXT(data[[#This Row],[Fecha de Envío
Cotización]],"MMMM")</f>
        <v>mayo</v>
      </c>
      <c r="D727" s="174">
        <v>44322</v>
      </c>
      <c r="E727" s="174" t="str">
        <f>IF(data[[#This Row],[Estatus de 
Cotización]]="PERDIDO","N/A","")</f>
        <v/>
      </c>
      <c r="F727" s="174"/>
      <c r="G727" s="109"/>
      <c r="H727" s="174"/>
      <c r="I727" s="86" t="s">
        <v>1621</v>
      </c>
      <c r="J727" s="87">
        <v>1547</v>
      </c>
      <c r="K727" s="24" t="s">
        <v>33</v>
      </c>
      <c r="L727" s="106"/>
      <c r="M727" s="108" t="s">
        <v>1358</v>
      </c>
      <c r="N727" s="106">
        <v>1</v>
      </c>
      <c r="O727" s="107"/>
      <c r="P727" s="107">
        <v>483.39</v>
      </c>
      <c r="Q727" s="28">
        <f>data[[#This Row],[Costo Producto
Proveedor ($/Unid)]]*data[[#This Row],[Cantidad]]</f>
        <v>0</v>
      </c>
      <c r="R727" s="28">
        <f>data[[#This Row],[Cantidad]]*data[[#This Row],[Precio de Venta Cliente ($/Unid)]]</f>
        <v>483.39</v>
      </c>
      <c r="S727" s="29"/>
      <c r="T727" s="106" t="s">
        <v>51</v>
      </c>
      <c r="U727" s="106"/>
      <c r="V727" s="30" t="s">
        <v>46</v>
      </c>
      <c r="W727" s="32" t="s">
        <v>46</v>
      </c>
      <c r="X727" s="106" t="s">
        <v>23</v>
      </c>
      <c r="Y727" s="106" t="s">
        <v>23</v>
      </c>
      <c r="Z727" s="106" t="s">
        <v>50</v>
      </c>
      <c r="AA727" s="106"/>
    </row>
    <row r="728" spans="2:27" s="50" customFormat="1" x14ac:dyDescent="0.25">
      <c r="B728" s="84"/>
      <c r="C728" s="174" t="str">
        <f>TEXT(data[[#This Row],[Fecha de Envío
Cotización]],"MMMM")</f>
        <v>mayo</v>
      </c>
      <c r="D728" s="84">
        <v>44322</v>
      </c>
      <c r="E728" s="174" t="str">
        <f>IF(data[[#This Row],[Estatus de 
Cotización]]="PERDIDO","N/A","")</f>
        <v>N/A</v>
      </c>
      <c r="F728" s="84"/>
      <c r="G728" s="109"/>
      <c r="H728" s="84"/>
      <c r="I728" s="86">
        <v>512100</v>
      </c>
      <c r="J728" s="87">
        <v>1548</v>
      </c>
      <c r="K728" s="24" t="s">
        <v>109</v>
      </c>
      <c r="L728" s="51"/>
      <c r="M728" s="108" t="s">
        <v>1359</v>
      </c>
      <c r="N728" s="51">
        <v>15</v>
      </c>
      <c r="O728" s="52"/>
      <c r="P728" s="107">
        <v>3.78</v>
      </c>
      <c r="Q728" s="28">
        <f>data[[#This Row],[Costo Producto
Proveedor ($/Unid)]]*data[[#This Row],[Cantidad]]</f>
        <v>0</v>
      </c>
      <c r="R728" s="28">
        <f>data[[#This Row],[Cantidad]]*data[[#This Row],[Precio de Venta Cliente ($/Unid)]]</f>
        <v>56.699999999999996</v>
      </c>
      <c r="S728" s="29"/>
      <c r="T728" s="106" t="s">
        <v>51</v>
      </c>
      <c r="U728" s="106"/>
      <c r="V728" s="30" t="s">
        <v>42</v>
      </c>
      <c r="W728" s="32" t="s">
        <v>42</v>
      </c>
      <c r="X728" s="106" t="s">
        <v>23</v>
      </c>
      <c r="Y728" s="106" t="s">
        <v>23</v>
      </c>
      <c r="Z728" s="51" t="s">
        <v>50</v>
      </c>
      <c r="AA728" s="106"/>
    </row>
    <row r="729" spans="2:27" s="50" customFormat="1" x14ac:dyDescent="0.25">
      <c r="B729" s="174"/>
      <c r="C729" s="174" t="str">
        <f>TEXT(data[[#This Row],[Fecha de Envío
Cotización]],"MMMM")</f>
        <v>mayo</v>
      </c>
      <c r="D729" s="174">
        <v>44322</v>
      </c>
      <c r="E729" s="174" t="str">
        <f>IF(data[[#This Row],[Estatus de 
Cotización]]="PERDIDO","N/A","")</f>
        <v>N/A</v>
      </c>
      <c r="F729" s="174"/>
      <c r="G729" s="109"/>
      <c r="H729" s="174"/>
      <c r="I729" s="86">
        <v>512101</v>
      </c>
      <c r="J729" s="87">
        <v>1548</v>
      </c>
      <c r="K729" s="24" t="s">
        <v>109</v>
      </c>
      <c r="L729" s="106"/>
      <c r="M729" s="108" t="s">
        <v>1360</v>
      </c>
      <c r="N729" s="106">
        <v>15</v>
      </c>
      <c r="O729" s="107"/>
      <c r="P729" s="107">
        <v>7.96</v>
      </c>
      <c r="Q729" s="28">
        <f>data[[#This Row],[Costo Producto
Proveedor ($/Unid)]]*data[[#This Row],[Cantidad]]</f>
        <v>0</v>
      </c>
      <c r="R729" s="28">
        <f>data[[#This Row],[Cantidad]]*data[[#This Row],[Precio de Venta Cliente ($/Unid)]]</f>
        <v>119.4</v>
      </c>
      <c r="S729" s="29"/>
      <c r="T729" s="106" t="s">
        <v>51</v>
      </c>
      <c r="U729" s="106"/>
      <c r="V729" s="30" t="s">
        <v>42</v>
      </c>
      <c r="W729" s="32" t="s">
        <v>42</v>
      </c>
      <c r="X729" s="106" t="s">
        <v>23</v>
      </c>
      <c r="Y729" s="106" t="s">
        <v>23</v>
      </c>
      <c r="Z729" s="106" t="s">
        <v>50</v>
      </c>
      <c r="AA729" s="106"/>
    </row>
    <row r="730" spans="2:27" s="50" customFormat="1" x14ac:dyDescent="0.25">
      <c r="B730" s="174"/>
      <c r="C730" s="174" t="str">
        <f>TEXT(data[[#This Row],[Fecha de Envío
Cotización]],"MMMM")</f>
        <v>mayo</v>
      </c>
      <c r="D730" s="174">
        <v>44322</v>
      </c>
      <c r="E730" s="174" t="str">
        <f>IF(data[[#This Row],[Estatus de 
Cotización]]="PERDIDO","N/A","")</f>
        <v>N/A</v>
      </c>
      <c r="F730" s="174"/>
      <c r="G730" s="109"/>
      <c r="H730" s="174"/>
      <c r="I730" s="86">
        <v>512102</v>
      </c>
      <c r="J730" s="87">
        <v>1548</v>
      </c>
      <c r="K730" s="24" t="s">
        <v>109</v>
      </c>
      <c r="L730" s="106"/>
      <c r="M730" s="108" t="s">
        <v>1361</v>
      </c>
      <c r="N730" s="106">
        <v>15</v>
      </c>
      <c r="O730" s="107"/>
      <c r="P730" s="107">
        <v>2.57</v>
      </c>
      <c r="Q730" s="28">
        <f>data[[#This Row],[Costo Producto
Proveedor ($/Unid)]]*data[[#This Row],[Cantidad]]</f>
        <v>0</v>
      </c>
      <c r="R730" s="28">
        <f>data[[#This Row],[Cantidad]]*data[[#This Row],[Precio de Venta Cliente ($/Unid)]]</f>
        <v>38.549999999999997</v>
      </c>
      <c r="S730" s="29"/>
      <c r="T730" s="106" t="s">
        <v>51</v>
      </c>
      <c r="U730" s="106"/>
      <c r="V730" s="30" t="s">
        <v>42</v>
      </c>
      <c r="W730" s="32" t="s">
        <v>42</v>
      </c>
      <c r="X730" s="106" t="s">
        <v>23</v>
      </c>
      <c r="Y730" s="106" t="s">
        <v>23</v>
      </c>
      <c r="Z730" s="106" t="s">
        <v>50</v>
      </c>
      <c r="AA730" s="106"/>
    </row>
    <row r="731" spans="2:27" s="50" customFormat="1" x14ac:dyDescent="0.25">
      <c r="B731" s="174"/>
      <c r="C731" s="174" t="str">
        <f>TEXT(data[[#This Row],[Fecha de Envío
Cotización]],"MMMM")</f>
        <v>mayo</v>
      </c>
      <c r="D731" s="174">
        <v>44322</v>
      </c>
      <c r="E731" s="174" t="str">
        <f>IF(data[[#This Row],[Estatus de 
Cotización]]="PERDIDO","N/A","")</f>
        <v>N/A</v>
      </c>
      <c r="F731" s="174"/>
      <c r="G731" s="109"/>
      <c r="H731" s="174"/>
      <c r="I731" s="86">
        <v>512103</v>
      </c>
      <c r="J731" s="87">
        <v>1548</v>
      </c>
      <c r="K731" s="24" t="s">
        <v>109</v>
      </c>
      <c r="L731" s="106"/>
      <c r="M731" s="108" t="s">
        <v>1362</v>
      </c>
      <c r="N731" s="106">
        <v>12</v>
      </c>
      <c r="O731" s="107"/>
      <c r="P731" s="107">
        <v>2.6</v>
      </c>
      <c r="Q731" s="28">
        <f>data[[#This Row],[Costo Producto
Proveedor ($/Unid)]]*data[[#This Row],[Cantidad]]</f>
        <v>0</v>
      </c>
      <c r="R731" s="28">
        <f>data[[#This Row],[Cantidad]]*data[[#This Row],[Precio de Venta Cliente ($/Unid)]]</f>
        <v>31.200000000000003</v>
      </c>
      <c r="S731" s="29"/>
      <c r="T731" s="106" t="s">
        <v>51</v>
      </c>
      <c r="U731" s="106"/>
      <c r="V731" s="30" t="s">
        <v>42</v>
      </c>
      <c r="W731" s="32" t="s">
        <v>42</v>
      </c>
      <c r="X731" s="106" t="s">
        <v>23</v>
      </c>
      <c r="Y731" s="106" t="s">
        <v>23</v>
      </c>
      <c r="Z731" s="106" t="s">
        <v>50</v>
      </c>
      <c r="AA731" s="106"/>
    </row>
    <row r="732" spans="2:27" s="50" customFormat="1" x14ac:dyDescent="0.25">
      <c r="B732" s="174"/>
      <c r="C732" s="174" t="str">
        <f>TEXT(data[[#This Row],[Fecha de Envío
Cotización]],"MMMM")</f>
        <v>mayo</v>
      </c>
      <c r="D732" s="174">
        <v>44322</v>
      </c>
      <c r="E732" s="174" t="str">
        <f>IF(data[[#This Row],[Estatus de 
Cotización]]="PERDIDO","N/A","")</f>
        <v>N/A</v>
      </c>
      <c r="F732" s="174"/>
      <c r="G732" s="109"/>
      <c r="H732" s="174"/>
      <c r="I732" s="86">
        <v>512104</v>
      </c>
      <c r="J732" s="87">
        <v>1548</v>
      </c>
      <c r="K732" s="24" t="s">
        <v>109</v>
      </c>
      <c r="L732" s="106"/>
      <c r="M732" s="108" t="s">
        <v>1363</v>
      </c>
      <c r="N732" s="106">
        <v>5</v>
      </c>
      <c r="O732" s="107"/>
      <c r="P732" s="107">
        <v>26.49</v>
      </c>
      <c r="Q732" s="28">
        <f>data[[#This Row],[Costo Producto
Proveedor ($/Unid)]]*data[[#This Row],[Cantidad]]</f>
        <v>0</v>
      </c>
      <c r="R732" s="28">
        <f>data[[#This Row],[Cantidad]]*data[[#This Row],[Precio de Venta Cliente ($/Unid)]]</f>
        <v>132.44999999999999</v>
      </c>
      <c r="S732" s="29"/>
      <c r="T732" s="106" t="s">
        <v>51</v>
      </c>
      <c r="U732" s="106"/>
      <c r="V732" s="30" t="s">
        <v>42</v>
      </c>
      <c r="W732" s="32" t="s">
        <v>42</v>
      </c>
      <c r="X732" s="106" t="s">
        <v>23</v>
      </c>
      <c r="Y732" s="106" t="s">
        <v>23</v>
      </c>
      <c r="Z732" s="106" t="s">
        <v>50</v>
      </c>
      <c r="AA732" s="106"/>
    </row>
    <row r="733" spans="2:27" s="50" customFormat="1" x14ac:dyDescent="0.25">
      <c r="B733" s="84"/>
      <c r="C733" s="174" t="str">
        <f>TEXT(data[[#This Row],[Fecha de Envío
Cotización]],"MMMM")</f>
        <v>mayo</v>
      </c>
      <c r="D733" s="84">
        <v>44322</v>
      </c>
      <c r="E733" s="174" t="str">
        <f>IF(data[[#This Row],[Estatus de 
Cotización]]="PERDIDO","N/A","")</f>
        <v>N/A</v>
      </c>
      <c r="F733" s="84"/>
      <c r="G733" s="109"/>
      <c r="H733" s="84"/>
      <c r="I733" s="86">
        <v>512105</v>
      </c>
      <c r="J733" s="87">
        <v>1548</v>
      </c>
      <c r="K733" s="24" t="s">
        <v>109</v>
      </c>
      <c r="L733" s="51"/>
      <c r="M733" s="108" t="s">
        <v>1364</v>
      </c>
      <c r="N733" s="51">
        <v>5</v>
      </c>
      <c r="O733" s="52"/>
      <c r="P733" s="107">
        <v>15.27</v>
      </c>
      <c r="Q733" s="28">
        <f>data[[#This Row],[Costo Producto
Proveedor ($/Unid)]]*data[[#This Row],[Cantidad]]</f>
        <v>0</v>
      </c>
      <c r="R733" s="28">
        <f>data[[#This Row],[Cantidad]]*data[[#This Row],[Precio de Venta Cliente ($/Unid)]]</f>
        <v>76.349999999999994</v>
      </c>
      <c r="S733" s="29"/>
      <c r="T733" s="51" t="s">
        <v>51</v>
      </c>
      <c r="U733" s="51"/>
      <c r="V733" s="30" t="s">
        <v>42</v>
      </c>
      <c r="W733" s="32" t="s">
        <v>42</v>
      </c>
      <c r="X733" s="106" t="s">
        <v>23</v>
      </c>
      <c r="Y733" s="106" t="s">
        <v>23</v>
      </c>
      <c r="Z733" s="51" t="s">
        <v>50</v>
      </c>
      <c r="AA733" s="106"/>
    </row>
    <row r="734" spans="2:27" s="50" customFormat="1" x14ac:dyDescent="0.25">
      <c r="B734" s="84"/>
      <c r="C734" s="174" t="str">
        <f>TEXT(data[[#This Row],[Fecha de Envío
Cotización]],"MMMM")</f>
        <v>mayo</v>
      </c>
      <c r="D734" s="84">
        <v>44322</v>
      </c>
      <c r="E734" s="174" t="str">
        <f>IF(data[[#This Row],[Estatus de 
Cotización]]="PERDIDO","N/A","")</f>
        <v>N/A</v>
      </c>
      <c r="F734" s="84"/>
      <c r="G734" s="109"/>
      <c r="H734" s="84"/>
      <c r="I734" s="86">
        <v>512106</v>
      </c>
      <c r="J734" s="87">
        <v>1548</v>
      </c>
      <c r="K734" s="24" t="s">
        <v>109</v>
      </c>
      <c r="L734" s="51"/>
      <c r="M734" s="108" t="s">
        <v>1365</v>
      </c>
      <c r="N734" s="51">
        <v>6</v>
      </c>
      <c r="O734" s="52"/>
      <c r="P734" s="107">
        <v>9.15</v>
      </c>
      <c r="Q734" s="28">
        <f>data[[#This Row],[Costo Producto
Proveedor ($/Unid)]]*data[[#This Row],[Cantidad]]</f>
        <v>0</v>
      </c>
      <c r="R734" s="28">
        <f>data[[#This Row],[Cantidad]]*data[[#This Row],[Precio de Venta Cliente ($/Unid)]]</f>
        <v>54.900000000000006</v>
      </c>
      <c r="S734" s="29"/>
      <c r="T734" s="51" t="s">
        <v>51</v>
      </c>
      <c r="U734" s="51"/>
      <c r="V734" s="30" t="s">
        <v>42</v>
      </c>
      <c r="W734" s="32" t="s">
        <v>42</v>
      </c>
      <c r="X734" s="106" t="s">
        <v>23</v>
      </c>
      <c r="Y734" s="106" t="s">
        <v>23</v>
      </c>
      <c r="Z734" s="51" t="s">
        <v>50</v>
      </c>
      <c r="AA734" s="106"/>
    </row>
    <row r="735" spans="2:27" s="50" customFormat="1" x14ac:dyDescent="0.25">
      <c r="B735" s="84"/>
      <c r="C735" s="174" t="str">
        <f>TEXT(data[[#This Row],[Fecha de Envío
Cotización]],"MMMM")</f>
        <v>mayo</v>
      </c>
      <c r="D735" s="99">
        <v>44322</v>
      </c>
      <c r="E735" s="174" t="str">
        <f>IF(data[[#This Row],[Estatus de 
Cotización]]="PERDIDO","N/A","")</f>
        <v>N/A</v>
      </c>
      <c r="F735" s="84"/>
      <c r="G735" s="109"/>
      <c r="H735" s="84"/>
      <c r="I735" s="86">
        <v>512107</v>
      </c>
      <c r="J735" s="87">
        <v>1548</v>
      </c>
      <c r="K735" s="24" t="s">
        <v>109</v>
      </c>
      <c r="L735" s="51"/>
      <c r="M735" s="108" t="s">
        <v>1366</v>
      </c>
      <c r="N735" s="51">
        <v>5</v>
      </c>
      <c r="O735" s="52"/>
      <c r="P735" s="107">
        <v>13.52</v>
      </c>
      <c r="Q735" s="28">
        <f>data[[#This Row],[Costo Producto
Proveedor ($/Unid)]]*data[[#This Row],[Cantidad]]</f>
        <v>0</v>
      </c>
      <c r="R735" s="28">
        <f>data[[#This Row],[Cantidad]]*data[[#This Row],[Precio de Venta Cliente ($/Unid)]]</f>
        <v>67.599999999999994</v>
      </c>
      <c r="S735" s="29"/>
      <c r="T735" s="106" t="s">
        <v>51</v>
      </c>
      <c r="U735" s="106"/>
      <c r="V735" s="30" t="s">
        <v>42</v>
      </c>
      <c r="W735" s="32" t="s">
        <v>42</v>
      </c>
      <c r="X735" s="106" t="s">
        <v>23</v>
      </c>
      <c r="Y735" s="106" t="s">
        <v>23</v>
      </c>
      <c r="Z735" s="51" t="s">
        <v>50</v>
      </c>
      <c r="AA735" s="106"/>
    </row>
    <row r="736" spans="2:27" s="38" customFormat="1" x14ac:dyDescent="0.25">
      <c r="B736" s="35"/>
      <c r="C736" s="174" t="str">
        <f>TEXT(data[[#This Row],[Fecha de Envío
Cotización]],"MMMM")</f>
        <v>mayo</v>
      </c>
      <c r="D736" s="35">
        <v>44322</v>
      </c>
      <c r="E736" s="174" t="str">
        <f>IF(data[[#This Row],[Estatus de 
Cotización]]="PERDIDO","N/A","")</f>
        <v>N/A</v>
      </c>
      <c r="F736" s="35"/>
      <c r="G736" s="109"/>
      <c r="H736" s="35"/>
      <c r="I736" s="86">
        <v>512108</v>
      </c>
      <c r="J736" s="87">
        <v>1548</v>
      </c>
      <c r="K736" s="24" t="s">
        <v>109</v>
      </c>
      <c r="L736" s="39"/>
      <c r="M736" s="108" t="s">
        <v>1367</v>
      </c>
      <c r="N736" s="39">
        <v>5</v>
      </c>
      <c r="O736" s="40"/>
      <c r="P736" s="107">
        <v>9.36</v>
      </c>
      <c r="Q736" s="28">
        <f>data[[#This Row],[Costo Producto
Proveedor ($/Unid)]]*data[[#This Row],[Cantidad]]</f>
        <v>0</v>
      </c>
      <c r="R736" s="28">
        <f>data[[#This Row],[Cantidad]]*data[[#This Row],[Precio de Venta Cliente ($/Unid)]]</f>
        <v>46.8</v>
      </c>
      <c r="S736" s="29"/>
      <c r="T736" s="106" t="s">
        <v>51</v>
      </c>
      <c r="U736" s="106"/>
      <c r="V736" s="30" t="s">
        <v>42</v>
      </c>
      <c r="W736" s="32" t="s">
        <v>42</v>
      </c>
      <c r="X736" s="106" t="s">
        <v>23</v>
      </c>
      <c r="Y736" s="106" t="s">
        <v>23</v>
      </c>
      <c r="Z736" s="39" t="s">
        <v>50</v>
      </c>
      <c r="AA736" s="106"/>
    </row>
    <row r="737" spans="2:27" s="38" customFormat="1" x14ac:dyDescent="0.25">
      <c r="B737" s="174"/>
      <c r="C737" s="174" t="str">
        <f>TEXT(data[[#This Row],[Fecha de Envío
Cotización]],"MMMM")</f>
        <v>mayo</v>
      </c>
      <c r="D737" s="174">
        <v>44322</v>
      </c>
      <c r="E737" s="174" t="str">
        <f>IF(data[[#This Row],[Estatus de 
Cotización]]="PERDIDO","N/A","")</f>
        <v>N/A</v>
      </c>
      <c r="F737" s="174"/>
      <c r="G737" s="109"/>
      <c r="H737" s="174"/>
      <c r="I737" s="86">
        <v>512109</v>
      </c>
      <c r="J737" s="87">
        <v>1548</v>
      </c>
      <c r="K737" s="24" t="s">
        <v>109</v>
      </c>
      <c r="L737" s="106"/>
      <c r="M737" s="108" t="s">
        <v>1368</v>
      </c>
      <c r="N737" s="106">
        <v>5</v>
      </c>
      <c r="O737" s="107"/>
      <c r="P737" s="107">
        <v>7.04</v>
      </c>
      <c r="Q737" s="28">
        <f>data[[#This Row],[Costo Producto
Proveedor ($/Unid)]]*data[[#This Row],[Cantidad]]</f>
        <v>0</v>
      </c>
      <c r="R737" s="28">
        <f>data[[#This Row],[Cantidad]]*data[[#This Row],[Precio de Venta Cliente ($/Unid)]]</f>
        <v>35.200000000000003</v>
      </c>
      <c r="S737" s="29"/>
      <c r="T737" s="106" t="s">
        <v>51</v>
      </c>
      <c r="U737" s="106"/>
      <c r="V737" s="30" t="s">
        <v>42</v>
      </c>
      <c r="W737" s="32" t="s">
        <v>42</v>
      </c>
      <c r="X737" s="106" t="s">
        <v>23</v>
      </c>
      <c r="Y737" s="106" t="s">
        <v>23</v>
      </c>
      <c r="Z737" s="106" t="s">
        <v>50</v>
      </c>
      <c r="AA737" s="106"/>
    </row>
    <row r="738" spans="2:27" s="38" customFormat="1" x14ac:dyDescent="0.25">
      <c r="B738" s="174"/>
      <c r="C738" s="174" t="str">
        <f>TEXT(data[[#This Row],[Fecha de Envío
Cotización]],"MMMM")</f>
        <v>mayo</v>
      </c>
      <c r="D738" s="174">
        <v>44322</v>
      </c>
      <c r="E738" s="174" t="str">
        <f>IF(data[[#This Row],[Estatus de 
Cotización]]="PERDIDO","N/A","")</f>
        <v>N/A</v>
      </c>
      <c r="F738" s="174"/>
      <c r="G738" s="109"/>
      <c r="H738" s="174"/>
      <c r="I738" s="86">
        <v>512110</v>
      </c>
      <c r="J738" s="87">
        <v>1548</v>
      </c>
      <c r="K738" s="24" t="s">
        <v>109</v>
      </c>
      <c r="L738" s="106"/>
      <c r="M738" s="108" t="s">
        <v>1369</v>
      </c>
      <c r="N738" s="106">
        <v>6</v>
      </c>
      <c r="O738" s="107"/>
      <c r="P738" s="107">
        <v>7.4</v>
      </c>
      <c r="Q738" s="28">
        <f>data[[#This Row],[Costo Producto
Proveedor ($/Unid)]]*data[[#This Row],[Cantidad]]</f>
        <v>0</v>
      </c>
      <c r="R738" s="28">
        <f>data[[#This Row],[Cantidad]]*data[[#This Row],[Precio de Venta Cliente ($/Unid)]]</f>
        <v>44.400000000000006</v>
      </c>
      <c r="S738" s="29"/>
      <c r="T738" s="106" t="s">
        <v>51</v>
      </c>
      <c r="U738" s="106"/>
      <c r="V738" s="30" t="s">
        <v>42</v>
      </c>
      <c r="W738" s="32" t="s">
        <v>42</v>
      </c>
      <c r="X738" s="106" t="s">
        <v>23</v>
      </c>
      <c r="Y738" s="106" t="s">
        <v>23</v>
      </c>
      <c r="Z738" s="106" t="s">
        <v>50</v>
      </c>
      <c r="AA738" s="106"/>
    </row>
    <row r="739" spans="2:27" s="38" customFormat="1" x14ac:dyDescent="0.25">
      <c r="B739" s="35"/>
      <c r="C739" s="174" t="str">
        <f>TEXT(data[[#This Row],[Fecha de Envío
Cotización]],"MMMM")</f>
        <v>mayo</v>
      </c>
      <c r="D739" s="35">
        <v>44322</v>
      </c>
      <c r="E739" s="174" t="str">
        <f>IF(data[[#This Row],[Estatus de 
Cotización]]="PERDIDO","N/A","")</f>
        <v>N/A</v>
      </c>
      <c r="F739" s="104"/>
      <c r="G739" s="109"/>
      <c r="H739" s="104"/>
      <c r="I739" s="86">
        <v>512111</v>
      </c>
      <c r="J739" s="87">
        <v>1548</v>
      </c>
      <c r="K739" s="24" t="s">
        <v>109</v>
      </c>
      <c r="L739" s="106"/>
      <c r="M739" s="108" t="s">
        <v>1370</v>
      </c>
      <c r="N739" s="39">
        <v>5</v>
      </c>
      <c r="O739" s="40"/>
      <c r="P739" s="107">
        <v>7.22</v>
      </c>
      <c r="Q739" s="28">
        <f>data[[#This Row],[Costo Producto
Proveedor ($/Unid)]]*data[[#This Row],[Cantidad]]</f>
        <v>0</v>
      </c>
      <c r="R739" s="28">
        <f>data[[#This Row],[Cantidad]]*data[[#This Row],[Precio de Venta Cliente ($/Unid)]]</f>
        <v>36.1</v>
      </c>
      <c r="S739" s="29"/>
      <c r="T739" s="106" t="s">
        <v>51</v>
      </c>
      <c r="U739" s="106"/>
      <c r="V739" s="30" t="s">
        <v>42</v>
      </c>
      <c r="W739" s="32" t="s">
        <v>42</v>
      </c>
      <c r="X739" s="106" t="s">
        <v>23</v>
      </c>
      <c r="Y739" s="106" t="s">
        <v>23</v>
      </c>
      <c r="Z739" s="39" t="s">
        <v>50</v>
      </c>
      <c r="AA739" s="106"/>
    </row>
    <row r="740" spans="2:27" s="38" customFormat="1" x14ac:dyDescent="0.25">
      <c r="B740" s="174"/>
      <c r="C740" s="174" t="str">
        <f>TEXT(data[[#This Row],[Fecha de Envío
Cotización]],"MMMM")</f>
        <v>mayo</v>
      </c>
      <c r="D740" s="174">
        <v>44322</v>
      </c>
      <c r="E740" s="174" t="str">
        <f>IF(data[[#This Row],[Estatus de 
Cotización]]="PERDIDO","N/A","")</f>
        <v>N/A</v>
      </c>
      <c r="F740" s="174"/>
      <c r="G740" s="109"/>
      <c r="H740" s="174"/>
      <c r="I740" s="86">
        <v>512112</v>
      </c>
      <c r="J740" s="87">
        <v>1548</v>
      </c>
      <c r="K740" s="24" t="s">
        <v>109</v>
      </c>
      <c r="L740" s="106"/>
      <c r="M740" s="108" t="s">
        <v>1371</v>
      </c>
      <c r="N740" s="106">
        <v>1</v>
      </c>
      <c r="O740" s="107"/>
      <c r="P740" s="107">
        <v>438.96</v>
      </c>
      <c r="Q740" s="28">
        <f>data[[#This Row],[Costo Producto
Proveedor ($/Unid)]]*data[[#This Row],[Cantidad]]</f>
        <v>0</v>
      </c>
      <c r="R740" s="28">
        <f>data[[#This Row],[Cantidad]]*data[[#This Row],[Precio de Venta Cliente ($/Unid)]]</f>
        <v>438.96</v>
      </c>
      <c r="S740" s="29"/>
      <c r="T740" s="106" t="s">
        <v>51</v>
      </c>
      <c r="U740" s="106"/>
      <c r="V740" s="30" t="s">
        <v>42</v>
      </c>
      <c r="W740" s="32" t="s">
        <v>42</v>
      </c>
      <c r="X740" s="106" t="s">
        <v>23</v>
      </c>
      <c r="Y740" s="106" t="s">
        <v>23</v>
      </c>
      <c r="Z740" s="106" t="s">
        <v>50</v>
      </c>
      <c r="AA740" s="106"/>
    </row>
    <row r="741" spans="2:27" s="38" customFormat="1" x14ac:dyDescent="0.25">
      <c r="B741" s="174"/>
      <c r="C741" s="174" t="str">
        <f>TEXT(data[[#This Row],[Fecha de Envío
Cotización]],"MMMM")</f>
        <v>mayo</v>
      </c>
      <c r="D741" s="174">
        <v>44322</v>
      </c>
      <c r="E741" s="174" t="str">
        <f>IF(data[[#This Row],[Estatus de 
Cotización]]="PERDIDO","N/A","")</f>
        <v>N/A</v>
      </c>
      <c r="F741" s="174"/>
      <c r="G741" s="109"/>
      <c r="H741" s="174"/>
      <c r="I741" s="86">
        <v>512113</v>
      </c>
      <c r="J741" s="87">
        <v>1548</v>
      </c>
      <c r="K741" s="24" t="s">
        <v>109</v>
      </c>
      <c r="L741" s="106"/>
      <c r="M741" s="108" t="s">
        <v>1372</v>
      </c>
      <c r="N741" s="106">
        <v>1</v>
      </c>
      <c r="O741" s="107"/>
      <c r="P741" s="107">
        <v>359.33</v>
      </c>
      <c r="Q741" s="28">
        <f>data[[#This Row],[Costo Producto
Proveedor ($/Unid)]]*data[[#This Row],[Cantidad]]</f>
        <v>0</v>
      </c>
      <c r="R741" s="28">
        <f>data[[#This Row],[Cantidad]]*data[[#This Row],[Precio de Venta Cliente ($/Unid)]]</f>
        <v>359.33</v>
      </c>
      <c r="S741" s="29"/>
      <c r="T741" s="106" t="s">
        <v>51</v>
      </c>
      <c r="U741" s="106"/>
      <c r="V741" s="30" t="s">
        <v>42</v>
      </c>
      <c r="W741" s="32" t="s">
        <v>42</v>
      </c>
      <c r="X741" s="106" t="s">
        <v>23</v>
      </c>
      <c r="Y741" s="106" t="s">
        <v>23</v>
      </c>
      <c r="Z741" s="106" t="s">
        <v>50</v>
      </c>
      <c r="AA741" s="106"/>
    </row>
    <row r="742" spans="2:27" s="38" customFormat="1" x14ac:dyDescent="0.25">
      <c r="B742" s="174"/>
      <c r="C742" s="174" t="str">
        <f>TEXT(data[[#This Row],[Fecha de Envío
Cotización]],"MMMM")</f>
        <v>mayo</v>
      </c>
      <c r="D742" s="174">
        <v>44322</v>
      </c>
      <c r="E742" s="174" t="str">
        <f>IF(data[[#This Row],[Estatus de 
Cotización]]="PERDIDO","N/A","")</f>
        <v>N/A</v>
      </c>
      <c r="F742" s="174"/>
      <c r="G742" s="109"/>
      <c r="H742" s="174"/>
      <c r="I742" s="86">
        <v>512114</v>
      </c>
      <c r="J742" s="87">
        <v>1548</v>
      </c>
      <c r="K742" s="24" t="s">
        <v>109</v>
      </c>
      <c r="L742" s="106"/>
      <c r="M742" s="108" t="s">
        <v>1373</v>
      </c>
      <c r="N742" s="106">
        <v>6</v>
      </c>
      <c r="O742" s="107"/>
      <c r="P742" s="107">
        <v>5.9</v>
      </c>
      <c r="Q742" s="28">
        <f>data[[#This Row],[Costo Producto
Proveedor ($/Unid)]]*data[[#This Row],[Cantidad]]</f>
        <v>0</v>
      </c>
      <c r="R742" s="28">
        <f>data[[#This Row],[Cantidad]]*data[[#This Row],[Precio de Venta Cliente ($/Unid)]]</f>
        <v>35.400000000000006</v>
      </c>
      <c r="S742" s="29"/>
      <c r="T742" s="106" t="s">
        <v>51</v>
      </c>
      <c r="U742" s="106"/>
      <c r="V742" s="30" t="s">
        <v>42</v>
      </c>
      <c r="W742" s="32" t="s">
        <v>42</v>
      </c>
      <c r="X742" s="106" t="s">
        <v>23</v>
      </c>
      <c r="Y742" s="106" t="s">
        <v>23</v>
      </c>
      <c r="Z742" s="106" t="s">
        <v>50</v>
      </c>
      <c r="AA742" s="106"/>
    </row>
    <row r="743" spans="2:27" s="38" customFormat="1" x14ac:dyDescent="0.25">
      <c r="B743" s="174"/>
      <c r="C743" s="174" t="str">
        <f>TEXT(data[[#This Row],[Fecha de Envío
Cotización]],"MMMM")</f>
        <v>mayo</v>
      </c>
      <c r="D743" s="174">
        <v>44322</v>
      </c>
      <c r="E743" s="174" t="str">
        <f>IF(data[[#This Row],[Estatus de 
Cotización]]="PERDIDO","N/A","")</f>
        <v>N/A</v>
      </c>
      <c r="F743" s="174"/>
      <c r="G743" s="109"/>
      <c r="H743" s="174"/>
      <c r="I743" s="86">
        <v>512115</v>
      </c>
      <c r="J743" s="87">
        <v>1548</v>
      </c>
      <c r="K743" s="24" t="s">
        <v>109</v>
      </c>
      <c r="L743" s="106"/>
      <c r="M743" s="108" t="s">
        <v>1374</v>
      </c>
      <c r="N743" s="106">
        <v>15</v>
      </c>
      <c r="O743" s="107"/>
      <c r="P743" s="107">
        <v>13.21</v>
      </c>
      <c r="Q743" s="28">
        <f>data[[#This Row],[Costo Producto
Proveedor ($/Unid)]]*data[[#This Row],[Cantidad]]</f>
        <v>0</v>
      </c>
      <c r="R743" s="28">
        <f>data[[#This Row],[Cantidad]]*data[[#This Row],[Precio de Venta Cliente ($/Unid)]]</f>
        <v>198.15</v>
      </c>
      <c r="S743" s="29"/>
      <c r="T743" s="106" t="s">
        <v>51</v>
      </c>
      <c r="U743" s="106"/>
      <c r="V743" s="30" t="s">
        <v>42</v>
      </c>
      <c r="W743" s="32" t="s">
        <v>42</v>
      </c>
      <c r="X743" s="106" t="s">
        <v>23</v>
      </c>
      <c r="Y743" s="106" t="s">
        <v>23</v>
      </c>
      <c r="Z743" s="106" t="s">
        <v>50</v>
      </c>
      <c r="AA743" s="106"/>
    </row>
    <row r="744" spans="2:27" s="38" customFormat="1" x14ac:dyDescent="0.25">
      <c r="B744" s="174"/>
      <c r="C744" s="174" t="str">
        <f>TEXT(data[[#This Row],[Fecha de Envío
Cotización]],"MMMM")</f>
        <v>mayo</v>
      </c>
      <c r="D744" s="174">
        <v>44322</v>
      </c>
      <c r="E744" s="174" t="str">
        <f>IF(data[[#This Row],[Estatus de 
Cotización]]="PERDIDO","N/A","")</f>
        <v>N/A</v>
      </c>
      <c r="F744" s="174"/>
      <c r="G744" s="109"/>
      <c r="H744" s="174"/>
      <c r="I744" s="86">
        <v>512116</v>
      </c>
      <c r="J744" s="87">
        <v>1548</v>
      </c>
      <c r="K744" s="24" t="s">
        <v>109</v>
      </c>
      <c r="L744" s="106"/>
      <c r="M744" s="108" t="s">
        <v>1375</v>
      </c>
      <c r="N744" s="106">
        <v>20</v>
      </c>
      <c r="O744" s="107"/>
      <c r="P744" s="107">
        <v>5.29</v>
      </c>
      <c r="Q744" s="28">
        <f>data[[#This Row],[Costo Producto
Proveedor ($/Unid)]]*data[[#This Row],[Cantidad]]</f>
        <v>0</v>
      </c>
      <c r="R744" s="28">
        <f>data[[#This Row],[Cantidad]]*data[[#This Row],[Precio de Venta Cliente ($/Unid)]]</f>
        <v>105.8</v>
      </c>
      <c r="S744" s="29"/>
      <c r="T744" s="106" t="s">
        <v>51</v>
      </c>
      <c r="U744" s="106"/>
      <c r="V744" s="30" t="s">
        <v>42</v>
      </c>
      <c r="W744" s="32" t="s">
        <v>42</v>
      </c>
      <c r="X744" s="106" t="s">
        <v>23</v>
      </c>
      <c r="Y744" s="106" t="s">
        <v>23</v>
      </c>
      <c r="Z744" s="106" t="s">
        <v>50</v>
      </c>
      <c r="AA744" s="106"/>
    </row>
    <row r="745" spans="2:27" s="38" customFormat="1" x14ac:dyDescent="0.25">
      <c r="B745" s="174"/>
      <c r="C745" s="174" t="str">
        <f>TEXT(data[[#This Row],[Fecha de Envío
Cotización]],"MMMM")</f>
        <v>mayo</v>
      </c>
      <c r="D745" s="174">
        <v>44323</v>
      </c>
      <c r="E745" s="174" t="str">
        <f>IF(data[[#This Row],[Estatus de 
Cotización]]="PERDIDO","N/A","")</f>
        <v/>
      </c>
      <c r="F745" s="174"/>
      <c r="G745" s="109"/>
      <c r="H745" s="174"/>
      <c r="I745" s="86">
        <v>512122</v>
      </c>
      <c r="J745" s="87">
        <v>1549</v>
      </c>
      <c r="K745" s="24" t="s">
        <v>33</v>
      </c>
      <c r="L745" s="106"/>
      <c r="M745" s="108" t="s">
        <v>1376</v>
      </c>
      <c r="N745" s="106">
        <v>1</v>
      </c>
      <c r="O745" s="107"/>
      <c r="P745" s="107">
        <v>272.95</v>
      </c>
      <c r="Q745" s="28">
        <f>data[[#This Row],[Costo Producto
Proveedor ($/Unid)]]*data[[#This Row],[Cantidad]]</f>
        <v>0</v>
      </c>
      <c r="R745" s="28">
        <f>data[[#This Row],[Cantidad]]*data[[#This Row],[Precio de Venta Cliente ($/Unid)]]</f>
        <v>272.95</v>
      </c>
      <c r="S745" s="29"/>
      <c r="T745" s="106" t="s">
        <v>51</v>
      </c>
      <c r="U745" s="106"/>
      <c r="V745" s="30" t="s">
        <v>46</v>
      </c>
      <c r="W745" s="32" t="s">
        <v>46</v>
      </c>
      <c r="X745" s="106" t="s">
        <v>23</v>
      </c>
      <c r="Y745" s="106" t="s">
        <v>23</v>
      </c>
      <c r="Z745" s="106" t="s">
        <v>50</v>
      </c>
      <c r="AA745" s="106"/>
    </row>
    <row r="746" spans="2:27" s="38" customFormat="1" x14ac:dyDescent="0.25">
      <c r="B746" s="174"/>
      <c r="C746" s="174" t="str">
        <f>TEXT(data[[#This Row],[Fecha de Envío
Cotización]],"MMMM")</f>
        <v>mayo</v>
      </c>
      <c r="D746" s="124">
        <v>44336</v>
      </c>
      <c r="E746" s="174" t="str">
        <f>IF(data[[#This Row],[Estatus de 
Cotización]]="PERDIDO","N/A","")</f>
        <v/>
      </c>
      <c r="F746" s="174"/>
      <c r="G746" s="109"/>
      <c r="H746" s="174"/>
      <c r="I746" s="86">
        <v>12190259601</v>
      </c>
      <c r="J746" s="106">
        <v>533</v>
      </c>
      <c r="K746" s="110" t="s">
        <v>283</v>
      </c>
      <c r="L746" s="106"/>
      <c r="M746" s="108" t="s">
        <v>1604</v>
      </c>
      <c r="N746" s="106">
        <v>5</v>
      </c>
      <c r="O746" s="107"/>
      <c r="P746" s="107">
        <v>1355.92</v>
      </c>
      <c r="Q746" s="28">
        <f>data[[#This Row],[Costo Producto
Proveedor ($/Unid)]]*data[[#This Row],[Cantidad]]</f>
        <v>0</v>
      </c>
      <c r="R746" s="28">
        <f>data[[#This Row],[Cantidad]]*data[[#This Row],[Precio de Venta Cliente ($/Unid)]]</f>
        <v>6779.6</v>
      </c>
      <c r="S746" s="29"/>
      <c r="T746" s="109" t="s">
        <v>36</v>
      </c>
      <c r="U746" s="109"/>
      <c r="V746" s="30" t="s">
        <v>46</v>
      </c>
      <c r="W746" s="32" t="s">
        <v>46</v>
      </c>
      <c r="X746" s="106" t="s">
        <v>23</v>
      </c>
      <c r="Y746" s="106" t="s">
        <v>23</v>
      </c>
      <c r="Z746" s="106" t="s">
        <v>50</v>
      </c>
      <c r="AA746" s="109"/>
    </row>
    <row r="747" spans="2:27" s="38" customFormat="1" x14ac:dyDescent="0.25">
      <c r="B747" s="174"/>
      <c r="C747" s="174" t="str">
        <f>TEXT(data[[#This Row],[Fecha de Envío
Cotización]],"MMMM")</f>
        <v>mayo</v>
      </c>
      <c r="D747" s="174">
        <v>44326</v>
      </c>
      <c r="E747" s="174" t="s">
        <v>473</v>
      </c>
      <c r="F747" s="174" t="s">
        <v>473</v>
      </c>
      <c r="G747" s="109"/>
      <c r="H747" s="174" t="s">
        <v>473</v>
      </c>
      <c r="I747" s="86">
        <v>5115955</v>
      </c>
      <c r="J747" s="86">
        <v>1551</v>
      </c>
      <c r="K747" s="24" t="s">
        <v>283</v>
      </c>
      <c r="L747" s="106"/>
      <c r="M747" s="108" t="s">
        <v>1380</v>
      </c>
      <c r="N747" s="106">
        <v>2</v>
      </c>
      <c r="O747" s="107"/>
      <c r="P747" s="107">
        <v>480.33</v>
      </c>
      <c r="Q747" s="28">
        <f>data[[#This Row],[Costo Producto
Proveedor ($/Unid)]]*data[[#This Row],[Cantidad]]</f>
        <v>0</v>
      </c>
      <c r="R747" s="28">
        <f>data[[#This Row],[Cantidad]]*data[[#This Row],[Precio de Venta Cliente ($/Unid)]]</f>
        <v>960.66</v>
      </c>
      <c r="S747" s="29"/>
      <c r="T747" s="106" t="s">
        <v>51</v>
      </c>
      <c r="U747" s="106"/>
      <c r="V747" s="30" t="s">
        <v>473</v>
      </c>
      <c r="W747" s="32" t="s">
        <v>473</v>
      </c>
      <c r="X747" s="106" t="s">
        <v>473</v>
      </c>
      <c r="Y747" s="106" t="s">
        <v>473</v>
      </c>
      <c r="Z747" s="106" t="s">
        <v>50</v>
      </c>
      <c r="AA747" s="106"/>
    </row>
    <row r="748" spans="2:27" s="38" customFormat="1" x14ac:dyDescent="0.25">
      <c r="B748" s="174"/>
      <c r="C748" s="174" t="str">
        <f>TEXT(data[[#This Row],[Fecha de Envío
Cotización]],"MMMM")</f>
        <v>mayo</v>
      </c>
      <c r="D748" s="174">
        <v>44326</v>
      </c>
      <c r="E748" s="174" t="s">
        <v>473</v>
      </c>
      <c r="F748" s="174" t="s">
        <v>473</v>
      </c>
      <c r="G748" s="109"/>
      <c r="H748" s="174" t="s">
        <v>473</v>
      </c>
      <c r="I748" s="86">
        <v>5115956</v>
      </c>
      <c r="J748" s="86">
        <v>1551</v>
      </c>
      <c r="K748" s="24" t="s">
        <v>283</v>
      </c>
      <c r="L748" s="106"/>
      <c r="M748" s="108" t="s">
        <v>1381</v>
      </c>
      <c r="N748" s="106">
        <v>6</v>
      </c>
      <c r="O748" s="107"/>
      <c r="P748" s="107">
        <v>232.25</v>
      </c>
      <c r="Q748" s="28">
        <f>data[[#This Row],[Costo Producto
Proveedor ($/Unid)]]*data[[#This Row],[Cantidad]]</f>
        <v>0</v>
      </c>
      <c r="R748" s="28">
        <f>data[[#This Row],[Cantidad]]*data[[#This Row],[Precio de Venta Cliente ($/Unid)]]</f>
        <v>1393.5</v>
      </c>
      <c r="S748" s="29"/>
      <c r="T748" s="106" t="s">
        <v>51</v>
      </c>
      <c r="U748" s="106"/>
      <c r="V748" s="30" t="s">
        <v>473</v>
      </c>
      <c r="W748" s="32" t="s">
        <v>473</v>
      </c>
      <c r="X748" s="106" t="s">
        <v>473</v>
      </c>
      <c r="Y748" s="106" t="s">
        <v>473</v>
      </c>
      <c r="Z748" s="106" t="s">
        <v>50</v>
      </c>
      <c r="AA748" s="106"/>
    </row>
    <row r="749" spans="2:27" s="38" customFormat="1" x14ac:dyDescent="0.25">
      <c r="B749" s="104"/>
      <c r="C749" s="174" t="str">
        <f>TEXT(data[[#This Row],[Fecha de Envío
Cotización]],"MMMM")</f>
        <v>mayo</v>
      </c>
      <c r="D749" s="104">
        <v>44326</v>
      </c>
      <c r="E749" s="174" t="s">
        <v>473</v>
      </c>
      <c r="F749" s="104" t="s">
        <v>473</v>
      </c>
      <c r="G749" s="109"/>
      <c r="H749" s="104" t="s">
        <v>473</v>
      </c>
      <c r="I749" s="86">
        <v>5115957</v>
      </c>
      <c r="J749" s="86">
        <v>1551</v>
      </c>
      <c r="K749" s="24" t="s">
        <v>283</v>
      </c>
      <c r="L749" s="39"/>
      <c r="M749" s="53" t="s">
        <v>1382</v>
      </c>
      <c r="N749" s="39">
        <v>4</v>
      </c>
      <c r="O749" s="40"/>
      <c r="P749" s="107">
        <v>60.38</v>
      </c>
      <c r="Q749" s="28">
        <f>data[[#This Row],[Costo Producto
Proveedor ($/Unid)]]*data[[#This Row],[Cantidad]]</f>
        <v>0</v>
      </c>
      <c r="R749" s="28">
        <f>data[[#This Row],[Cantidad]]*data[[#This Row],[Precio de Venta Cliente ($/Unid)]]</f>
        <v>241.52</v>
      </c>
      <c r="S749" s="29"/>
      <c r="T749" s="106" t="s">
        <v>51</v>
      </c>
      <c r="U749" s="106"/>
      <c r="V749" s="30" t="s">
        <v>473</v>
      </c>
      <c r="W749" s="32" t="s">
        <v>473</v>
      </c>
      <c r="X749" s="39" t="s">
        <v>473</v>
      </c>
      <c r="Y749" s="39" t="s">
        <v>473</v>
      </c>
      <c r="Z749" s="39" t="s">
        <v>50</v>
      </c>
      <c r="AA749" s="106"/>
    </row>
    <row r="750" spans="2:27" s="38" customFormat="1" x14ac:dyDescent="0.25">
      <c r="B750" s="104"/>
      <c r="C750" s="174" t="str">
        <f>TEXT(data[[#This Row],[Fecha de Envío
Cotización]],"MMMM")</f>
        <v>mayo</v>
      </c>
      <c r="D750" s="104">
        <v>44326</v>
      </c>
      <c r="E750" s="174" t="s">
        <v>473</v>
      </c>
      <c r="F750" s="104" t="s">
        <v>473</v>
      </c>
      <c r="G750" s="109"/>
      <c r="H750" s="104" t="s">
        <v>473</v>
      </c>
      <c r="I750" s="86">
        <v>5115958</v>
      </c>
      <c r="J750" s="86">
        <v>1551</v>
      </c>
      <c r="K750" s="24" t="s">
        <v>283</v>
      </c>
      <c r="L750" s="39"/>
      <c r="M750" s="108" t="s">
        <v>1383</v>
      </c>
      <c r="N750" s="39">
        <v>4</v>
      </c>
      <c r="O750" s="40"/>
      <c r="P750" s="107">
        <v>69.08</v>
      </c>
      <c r="Q750" s="28">
        <f>data[[#This Row],[Costo Producto
Proveedor ($/Unid)]]*data[[#This Row],[Cantidad]]</f>
        <v>0</v>
      </c>
      <c r="R750" s="28">
        <f>data[[#This Row],[Cantidad]]*data[[#This Row],[Precio de Venta Cliente ($/Unid)]]</f>
        <v>276.32</v>
      </c>
      <c r="S750" s="29"/>
      <c r="T750" s="106" t="s">
        <v>51</v>
      </c>
      <c r="U750" s="106"/>
      <c r="V750" s="30" t="s">
        <v>473</v>
      </c>
      <c r="W750" s="32" t="s">
        <v>473</v>
      </c>
      <c r="X750" s="39" t="s">
        <v>473</v>
      </c>
      <c r="Y750" s="39" t="s">
        <v>473</v>
      </c>
      <c r="Z750" s="39" t="s">
        <v>50</v>
      </c>
      <c r="AA750" s="106"/>
    </row>
    <row r="751" spans="2:27" s="38" customFormat="1" x14ac:dyDescent="0.25">
      <c r="B751" s="104"/>
      <c r="C751" s="174" t="str">
        <f>TEXT(data[[#This Row],[Fecha de Envío
Cotización]],"MMMM")</f>
        <v>mayo</v>
      </c>
      <c r="D751" s="104">
        <v>44326</v>
      </c>
      <c r="E751" s="174" t="str">
        <f>IF(data[[#This Row],[Estatus de 
Cotización]]="PERDIDO","N/A","")</f>
        <v/>
      </c>
      <c r="F751" s="104"/>
      <c r="G751" s="109"/>
      <c r="H751" s="104"/>
      <c r="I751" s="86">
        <v>5115959</v>
      </c>
      <c r="J751" s="86">
        <v>1552</v>
      </c>
      <c r="K751" s="24" t="s">
        <v>33</v>
      </c>
      <c r="L751" s="39"/>
      <c r="M751" s="53" t="s">
        <v>1384</v>
      </c>
      <c r="N751" s="39">
        <v>1</v>
      </c>
      <c r="O751" s="40"/>
      <c r="P751" s="107">
        <v>966.56</v>
      </c>
      <c r="Q751" s="28">
        <f>data[[#This Row],[Costo Producto
Proveedor ($/Unid)]]*data[[#This Row],[Cantidad]]</f>
        <v>0</v>
      </c>
      <c r="R751" s="28">
        <f>data[[#This Row],[Cantidad]]*data[[#This Row],[Precio de Venta Cliente ($/Unid)]]</f>
        <v>966.56</v>
      </c>
      <c r="S751" s="29"/>
      <c r="T751" s="106" t="s">
        <v>51</v>
      </c>
      <c r="U751" s="106"/>
      <c r="V751" s="30" t="s">
        <v>46</v>
      </c>
      <c r="W751" s="32" t="s">
        <v>46</v>
      </c>
      <c r="X751" s="39" t="s">
        <v>23</v>
      </c>
      <c r="Y751" s="39" t="s">
        <v>23</v>
      </c>
      <c r="Z751" s="39" t="s">
        <v>50</v>
      </c>
      <c r="AA751" s="106"/>
    </row>
    <row r="752" spans="2:27" s="38" customFormat="1" x14ac:dyDescent="0.25">
      <c r="B752" s="174"/>
      <c r="C752" s="174" t="str">
        <f>TEXT(data[[#This Row],[Fecha de Envío
Cotización]],"MMMM")</f>
        <v>mayo</v>
      </c>
      <c r="D752" s="174">
        <v>44326</v>
      </c>
      <c r="E752" s="174">
        <v>44329</v>
      </c>
      <c r="F752" s="174">
        <v>44335</v>
      </c>
      <c r="G752" s="109">
        <v>5500025113</v>
      </c>
      <c r="H752" s="174">
        <v>44329</v>
      </c>
      <c r="I752" s="86">
        <v>5115960</v>
      </c>
      <c r="J752" s="86">
        <v>1553</v>
      </c>
      <c r="K752" s="24" t="s">
        <v>283</v>
      </c>
      <c r="L752" s="106"/>
      <c r="M752" s="108" t="s">
        <v>1385</v>
      </c>
      <c r="N752" s="106">
        <v>2</v>
      </c>
      <c r="O752" s="107"/>
      <c r="P752" s="107">
        <v>880.89</v>
      </c>
      <c r="Q752" s="28">
        <f>data[[#This Row],[Costo Producto
Proveedor ($/Unid)]]*data[[#This Row],[Cantidad]]</f>
        <v>0</v>
      </c>
      <c r="R752" s="121">
        <f>data[[#This Row],[Cantidad]]*data[[#This Row],[Precio de Venta Cliente ($/Unid)]]</f>
        <v>1761.78</v>
      </c>
      <c r="S752" s="29"/>
      <c r="T752" s="106" t="s">
        <v>22</v>
      </c>
      <c r="U752" s="106"/>
      <c r="V752" s="30" t="s">
        <v>44</v>
      </c>
      <c r="W752" s="32" t="s">
        <v>44</v>
      </c>
      <c r="X752" s="106" t="s">
        <v>45</v>
      </c>
      <c r="Y752" s="106" t="s">
        <v>47</v>
      </c>
      <c r="Z752" s="106" t="s">
        <v>50</v>
      </c>
      <c r="AA752" s="106"/>
    </row>
    <row r="753" spans="1:27" s="38" customFormat="1" x14ac:dyDescent="0.25">
      <c r="A753" s="38" t="s">
        <v>2556</v>
      </c>
      <c r="B753" s="174"/>
      <c r="C753" s="174" t="str">
        <f>TEXT(data[[#This Row],[Fecha de Envío
Cotización]],"MMMM")</f>
        <v>mayo</v>
      </c>
      <c r="D753" s="174">
        <v>44326</v>
      </c>
      <c r="E753" s="174">
        <v>44329</v>
      </c>
      <c r="F753" s="174">
        <v>44335</v>
      </c>
      <c r="G753" s="109">
        <v>5500025113</v>
      </c>
      <c r="H753" s="174">
        <v>44329</v>
      </c>
      <c r="I753" s="86">
        <v>5115961</v>
      </c>
      <c r="J753" s="86">
        <v>1553</v>
      </c>
      <c r="K753" s="24" t="s">
        <v>283</v>
      </c>
      <c r="L753" s="106"/>
      <c r="M753" s="108" t="s">
        <v>1386</v>
      </c>
      <c r="N753" s="106">
        <v>2</v>
      </c>
      <c r="O753" s="107"/>
      <c r="P753" s="107">
        <v>699.29</v>
      </c>
      <c r="Q753" s="28">
        <f>data[[#This Row],[Costo Producto
Proveedor ($/Unid)]]*data[[#This Row],[Cantidad]]</f>
        <v>0</v>
      </c>
      <c r="R753" s="121">
        <f>data[[#This Row],[Cantidad]]*data[[#This Row],[Precio de Venta Cliente ($/Unid)]]</f>
        <v>1398.58</v>
      </c>
      <c r="S753" s="29"/>
      <c r="T753" s="106" t="s">
        <v>22</v>
      </c>
      <c r="U753" s="106"/>
      <c r="V753" s="30" t="s">
        <v>44</v>
      </c>
      <c r="W753" s="32" t="s">
        <v>44</v>
      </c>
      <c r="X753" s="106" t="s">
        <v>45</v>
      </c>
      <c r="Y753" s="106" t="s">
        <v>47</v>
      </c>
      <c r="Z753" s="106" t="s">
        <v>50</v>
      </c>
      <c r="AA753" s="106"/>
    </row>
    <row r="754" spans="1:27" s="38" customFormat="1" x14ac:dyDescent="0.25">
      <c r="B754" s="104"/>
      <c r="C754" s="174" t="str">
        <f>TEXT(data[[#This Row],[Fecha de Envío
Cotización]],"MMMM")</f>
        <v>mayo</v>
      </c>
      <c r="D754" s="104">
        <v>44327</v>
      </c>
      <c r="E754" s="174">
        <v>44335</v>
      </c>
      <c r="F754" s="104"/>
      <c r="G754" s="109">
        <v>5500025302</v>
      </c>
      <c r="H754" s="104">
        <v>44335</v>
      </c>
      <c r="I754" s="86">
        <v>5115989</v>
      </c>
      <c r="J754" s="106">
        <v>1557</v>
      </c>
      <c r="K754" s="110" t="s">
        <v>283</v>
      </c>
      <c r="L754" s="39"/>
      <c r="M754" s="108" t="s">
        <v>1380</v>
      </c>
      <c r="N754" s="39">
        <v>2</v>
      </c>
      <c r="O754" s="40"/>
      <c r="P754" s="107">
        <v>337.25</v>
      </c>
      <c r="Q754" s="28">
        <f>data[[#This Row],[Costo Producto
Proveedor ($/Unid)]]*data[[#This Row],[Cantidad]]</f>
        <v>0</v>
      </c>
      <c r="R754" s="28">
        <f>data[[#This Row],[Cantidad]]*data[[#This Row],[Precio de Venta Cliente ($/Unid)]]</f>
        <v>674.5</v>
      </c>
      <c r="S754" s="29"/>
      <c r="T754" s="109" t="s">
        <v>51</v>
      </c>
      <c r="U754" s="109"/>
      <c r="V754" s="30" t="s">
        <v>44</v>
      </c>
      <c r="W754" s="32" t="s">
        <v>44</v>
      </c>
      <c r="X754" s="39" t="s">
        <v>503</v>
      </c>
      <c r="Y754" s="39" t="s">
        <v>503</v>
      </c>
      <c r="Z754" s="39" t="s">
        <v>50</v>
      </c>
      <c r="AA754" s="109" t="s">
        <v>1513</v>
      </c>
    </row>
    <row r="755" spans="1:27" s="38" customFormat="1" x14ac:dyDescent="0.25">
      <c r="B755" s="104"/>
      <c r="C755" s="174" t="str">
        <f>TEXT(data[[#This Row],[Fecha de Envío
Cotización]],"MMMM")</f>
        <v>mayo</v>
      </c>
      <c r="D755" s="104">
        <v>44327</v>
      </c>
      <c r="E755" s="174">
        <v>44335</v>
      </c>
      <c r="F755" s="104"/>
      <c r="G755" s="109">
        <v>5500025302</v>
      </c>
      <c r="H755" s="104">
        <v>44335</v>
      </c>
      <c r="I755" s="86">
        <v>5115990</v>
      </c>
      <c r="J755" s="106">
        <v>1557</v>
      </c>
      <c r="K755" s="110" t="s">
        <v>283</v>
      </c>
      <c r="L755" s="39"/>
      <c r="M755" s="108" t="s">
        <v>1443</v>
      </c>
      <c r="N755" s="39">
        <v>6</v>
      </c>
      <c r="O755" s="40"/>
      <c r="P755" s="107">
        <v>229.7</v>
      </c>
      <c r="Q755" s="28">
        <f>data[[#This Row],[Costo Producto
Proveedor ($/Unid)]]*data[[#This Row],[Cantidad]]</f>
        <v>0</v>
      </c>
      <c r="R755" s="28">
        <f>data[[#This Row],[Cantidad]]*data[[#This Row],[Precio de Venta Cliente ($/Unid)]]</f>
        <v>1378.1999999999998</v>
      </c>
      <c r="S755" s="29"/>
      <c r="T755" s="109" t="s">
        <v>51</v>
      </c>
      <c r="U755" s="109"/>
      <c r="V755" s="30" t="s">
        <v>44</v>
      </c>
      <c r="W755" s="32" t="s">
        <v>44</v>
      </c>
      <c r="X755" s="39" t="s">
        <v>503</v>
      </c>
      <c r="Y755" s="39" t="s">
        <v>503</v>
      </c>
      <c r="Z755" s="39" t="s">
        <v>50</v>
      </c>
      <c r="AA755" s="109" t="s">
        <v>2516</v>
      </c>
    </row>
    <row r="756" spans="1:27" s="38" customFormat="1" x14ac:dyDescent="0.25">
      <c r="B756" s="174"/>
      <c r="C756" s="174" t="str">
        <f>TEXT(data[[#This Row],[Fecha de Envío
Cotización]],"MMMM")</f>
        <v>mayo</v>
      </c>
      <c r="D756" s="174">
        <v>44327</v>
      </c>
      <c r="E756" s="174">
        <v>44335</v>
      </c>
      <c r="F756" s="174">
        <v>44349</v>
      </c>
      <c r="G756" s="109">
        <v>5500025302</v>
      </c>
      <c r="H756" s="174">
        <v>44335</v>
      </c>
      <c r="I756" s="86">
        <v>5115991</v>
      </c>
      <c r="J756" s="106">
        <v>1557</v>
      </c>
      <c r="K756" s="110" t="s">
        <v>283</v>
      </c>
      <c r="L756" s="106"/>
      <c r="M756" s="108" t="s">
        <v>1444</v>
      </c>
      <c r="N756" s="106">
        <v>4</v>
      </c>
      <c r="O756" s="107"/>
      <c r="P756" s="107">
        <v>60.38</v>
      </c>
      <c r="Q756" s="28">
        <f>data[[#This Row],[Costo Producto
Proveedor ($/Unid)]]*data[[#This Row],[Cantidad]]</f>
        <v>0</v>
      </c>
      <c r="R756" s="28">
        <f>data[[#This Row],[Cantidad]]*data[[#This Row],[Precio de Venta Cliente ($/Unid)]]</f>
        <v>241.52</v>
      </c>
      <c r="S756" s="29"/>
      <c r="T756" s="109" t="s">
        <v>51</v>
      </c>
      <c r="U756" s="109"/>
      <c r="V756" s="30" t="s">
        <v>44</v>
      </c>
      <c r="W756" s="32" t="s">
        <v>44</v>
      </c>
      <c r="X756" s="106" t="s">
        <v>503</v>
      </c>
      <c r="Y756" s="106" t="s">
        <v>503</v>
      </c>
      <c r="Z756" s="106" t="s">
        <v>50</v>
      </c>
      <c r="AA756" s="109"/>
    </row>
    <row r="757" spans="1:27" s="38" customFormat="1" x14ac:dyDescent="0.25">
      <c r="B757" s="174"/>
      <c r="C757" s="174" t="str">
        <f>TEXT(data[[#This Row],[Fecha de Envío
Cotización]],"MMMM")</f>
        <v>mayo</v>
      </c>
      <c r="D757" s="174">
        <v>44327</v>
      </c>
      <c r="E757" s="174">
        <v>44335</v>
      </c>
      <c r="F757" s="174">
        <v>44349</v>
      </c>
      <c r="G757" s="109">
        <v>5500025302</v>
      </c>
      <c r="H757" s="174">
        <v>44335</v>
      </c>
      <c r="I757" s="86">
        <v>5115992</v>
      </c>
      <c r="J757" s="106">
        <v>1557</v>
      </c>
      <c r="K757" s="110" t="s">
        <v>283</v>
      </c>
      <c r="L757" s="106"/>
      <c r="M757" s="108" t="s">
        <v>1383</v>
      </c>
      <c r="N757" s="106">
        <v>4</v>
      </c>
      <c r="O757" s="107"/>
      <c r="P757" s="107">
        <v>69.150000000000006</v>
      </c>
      <c r="Q757" s="28">
        <f>data[[#This Row],[Costo Producto
Proveedor ($/Unid)]]*data[[#This Row],[Cantidad]]</f>
        <v>0</v>
      </c>
      <c r="R757" s="28">
        <f>data[[#This Row],[Cantidad]]*data[[#This Row],[Precio de Venta Cliente ($/Unid)]]</f>
        <v>276.60000000000002</v>
      </c>
      <c r="S757" s="29"/>
      <c r="T757" s="109" t="s">
        <v>51</v>
      </c>
      <c r="U757" s="109"/>
      <c r="V757" s="30" t="s">
        <v>44</v>
      </c>
      <c r="W757" s="32" t="s">
        <v>44</v>
      </c>
      <c r="X757" s="106" t="s">
        <v>503</v>
      </c>
      <c r="Y757" s="106" t="s">
        <v>503</v>
      </c>
      <c r="Z757" s="106" t="s">
        <v>50</v>
      </c>
      <c r="AA757" s="109"/>
    </row>
    <row r="758" spans="1:27" s="38" customFormat="1" x14ac:dyDescent="0.25">
      <c r="B758" s="104"/>
      <c r="C758" s="174" t="str">
        <f>TEXT(data[[#This Row],[Fecha de Envío
Cotización]],"MMMM")</f>
        <v>mayo</v>
      </c>
      <c r="D758" s="124">
        <v>44336</v>
      </c>
      <c r="E758" s="174" t="str">
        <f>IF(data[[#This Row],[Estatus de 
Cotización]]="PERDIDO","N/A","")</f>
        <v/>
      </c>
      <c r="F758" s="104"/>
      <c r="G758" s="109"/>
      <c r="H758" s="104"/>
      <c r="I758" s="86">
        <v>12190259295</v>
      </c>
      <c r="J758" s="106">
        <v>533</v>
      </c>
      <c r="K758" s="110" t="s">
        <v>283</v>
      </c>
      <c r="L758" s="39"/>
      <c r="M758" s="108" t="s">
        <v>1603</v>
      </c>
      <c r="N758" s="39">
        <v>7</v>
      </c>
      <c r="O758" s="40"/>
      <c r="P758" s="107">
        <v>905.53</v>
      </c>
      <c r="Q758" s="28">
        <f>data[[#This Row],[Costo Producto
Proveedor ($/Unid)]]*data[[#This Row],[Cantidad]]</f>
        <v>0</v>
      </c>
      <c r="R758" s="28">
        <f>data[[#This Row],[Cantidad]]*data[[#This Row],[Precio de Venta Cliente ($/Unid)]]</f>
        <v>6338.71</v>
      </c>
      <c r="S758" s="29"/>
      <c r="T758" s="109" t="s">
        <v>36</v>
      </c>
      <c r="U758" s="109"/>
      <c r="V758" s="30" t="s">
        <v>46</v>
      </c>
      <c r="W758" s="32" t="s">
        <v>46</v>
      </c>
      <c r="X758" s="39" t="s">
        <v>23</v>
      </c>
      <c r="Y758" s="39" t="s">
        <v>23</v>
      </c>
      <c r="Z758" s="39" t="s">
        <v>50</v>
      </c>
      <c r="AA758" s="109"/>
    </row>
    <row r="759" spans="1:27" s="38" customFormat="1" x14ac:dyDescent="0.25">
      <c r="B759" s="104"/>
      <c r="C759" s="174" t="str">
        <f>TEXT(data[[#This Row],[Fecha de Envío
Cotización]],"MMMM")</f>
        <v>mayo</v>
      </c>
      <c r="D759" s="104">
        <v>44327</v>
      </c>
      <c r="E759" s="174" t="str">
        <f>IF(data[[#This Row],[Estatus de 
Cotización]]="PERDIDO","N/A","")</f>
        <v/>
      </c>
      <c r="F759" s="104"/>
      <c r="G759" s="109"/>
      <c r="H759" s="104"/>
      <c r="I759" s="86">
        <v>5115995</v>
      </c>
      <c r="J759" s="106">
        <v>1562</v>
      </c>
      <c r="K759" s="110" t="s">
        <v>33</v>
      </c>
      <c r="L759" s="39"/>
      <c r="M759" s="108" t="s">
        <v>1446</v>
      </c>
      <c r="N759" s="39">
        <v>2</v>
      </c>
      <c r="O759" s="40"/>
      <c r="P759" s="107">
        <v>488.88</v>
      </c>
      <c r="Q759" s="28">
        <f>data[[#This Row],[Costo Producto
Proveedor ($/Unid)]]*data[[#This Row],[Cantidad]]</f>
        <v>0</v>
      </c>
      <c r="R759" s="28">
        <f>data[[#This Row],[Cantidad]]*data[[#This Row],[Precio de Venta Cliente ($/Unid)]]</f>
        <v>977.76</v>
      </c>
      <c r="S759" s="114"/>
      <c r="T759" s="109" t="s">
        <v>51</v>
      </c>
      <c r="U759" s="109"/>
      <c r="V759" s="30" t="s">
        <v>46</v>
      </c>
      <c r="W759" s="32" t="s">
        <v>46</v>
      </c>
      <c r="X759" s="39" t="s">
        <v>23</v>
      </c>
      <c r="Y759" s="39" t="s">
        <v>23</v>
      </c>
      <c r="Z759" s="39" t="s">
        <v>50</v>
      </c>
      <c r="AA759" s="109"/>
    </row>
    <row r="760" spans="1:27" s="38" customFormat="1" x14ac:dyDescent="0.25">
      <c r="B760" s="174"/>
      <c r="C760" s="174" t="str">
        <f>TEXT(data[[#This Row],[Fecha de Envío
Cotización]],"MMMM")</f>
        <v>mayo</v>
      </c>
      <c r="D760" s="174">
        <v>44327</v>
      </c>
      <c r="E760" s="174" t="str">
        <f>IF(data[[#This Row],[Estatus de 
Cotización]]="PERDIDO","N/A","")</f>
        <v/>
      </c>
      <c r="F760" s="174"/>
      <c r="G760" s="109"/>
      <c r="H760" s="174"/>
      <c r="I760" s="86">
        <v>5115996</v>
      </c>
      <c r="J760" s="106">
        <v>1563</v>
      </c>
      <c r="K760" s="110" t="s">
        <v>33</v>
      </c>
      <c r="L760" s="106"/>
      <c r="M760" s="108" t="s">
        <v>1447</v>
      </c>
      <c r="N760" s="106">
        <v>5</v>
      </c>
      <c r="O760" s="107"/>
      <c r="P760" s="107">
        <v>575.32000000000005</v>
      </c>
      <c r="Q760" s="28">
        <f>data[[#This Row],[Costo Producto
Proveedor ($/Unid)]]*data[[#This Row],[Cantidad]]</f>
        <v>0</v>
      </c>
      <c r="R760" s="28">
        <f>data[[#This Row],[Cantidad]]*data[[#This Row],[Precio de Venta Cliente ($/Unid)]]</f>
        <v>2876.6000000000004</v>
      </c>
      <c r="S760" s="114"/>
      <c r="T760" s="109" t="s">
        <v>419</v>
      </c>
      <c r="U760" s="109"/>
      <c r="V760" s="30" t="s">
        <v>46</v>
      </c>
      <c r="W760" s="32" t="s">
        <v>46</v>
      </c>
      <c r="X760" s="106" t="s">
        <v>23</v>
      </c>
      <c r="Y760" s="106" t="s">
        <v>23</v>
      </c>
      <c r="Z760" s="106" t="s">
        <v>50</v>
      </c>
      <c r="AA760" s="109"/>
    </row>
    <row r="761" spans="1:27" s="38" customFormat="1" x14ac:dyDescent="0.25">
      <c r="B761" s="104"/>
      <c r="C761" s="174" t="str">
        <f>TEXT(data[[#This Row],[Fecha de Envío
Cotización]],"MMMM")</f>
        <v>mayo</v>
      </c>
      <c r="D761" s="104">
        <v>44327</v>
      </c>
      <c r="E761" s="174" t="str">
        <f>IF(data[[#This Row],[Estatus de 
Cotización]]="PERDIDO","N/A","")</f>
        <v/>
      </c>
      <c r="F761" s="104"/>
      <c r="G761" s="109"/>
      <c r="H761" s="104"/>
      <c r="I761" s="86">
        <v>5115997</v>
      </c>
      <c r="J761" s="106">
        <v>1563</v>
      </c>
      <c r="K761" s="110" t="s">
        <v>33</v>
      </c>
      <c r="L761" s="39"/>
      <c r="M761" s="108" t="s">
        <v>1448</v>
      </c>
      <c r="N761" s="39">
        <v>7</v>
      </c>
      <c r="O761" s="40"/>
      <c r="P761" s="107">
        <v>360.9</v>
      </c>
      <c r="Q761" s="28">
        <f>data[[#This Row],[Costo Producto
Proveedor ($/Unid)]]*data[[#This Row],[Cantidad]]</f>
        <v>0</v>
      </c>
      <c r="R761" s="28">
        <f>data[[#This Row],[Cantidad]]*data[[#This Row],[Precio de Venta Cliente ($/Unid)]]</f>
        <v>2526.2999999999997</v>
      </c>
      <c r="S761" s="114"/>
      <c r="T761" s="109" t="s">
        <v>419</v>
      </c>
      <c r="U761" s="109"/>
      <c r="V761" s="30" t="s">
        <v>46</v>
      </c>
      <c r="W761" s="32" t="s">
        <v>46</v>
      </c>
      <c r="X761" s="39" t="s">
        <v>23</v>
      </c>
      <c r="Y761" s="39" t="s">
        <v>23</v>
      </c>
      <c r="Z761" s="39" t="s">
        <v>50</v>
      </c>
      <c r="AA761" s="109"/>
    </row>
    <row r="762" spans="1:27" s="38" customFormat="1" x14ac:dyDescent="0.25">
      <c r="B762" s="104"/>
      <c r="C762" s="174" t="str">
        <f>TEXT(data[[#This Row],[Fecha de Envío
Cotización]],"MMMM")</f>
        <v>mayo</v>
      </c>
      <c r="D762" s="104">
        <v>44327</v>
      </c>
      <c r="E762" s="174" t="str">
        <f>IF(data[[#This Row],[Estatus de 
Cotización]]="PERDIDO","N/A","")</f>
        <v>N/A</v>
      </c>
      <c r="F762" s="104"/>
      <c r="G762" s="109"/>
      <c r="H762" s="104"/>
      <c r="I762" s="86">
        <v>5115986</v>
      </c>
      <c r="J762" s="106">
        <v>1556</v>
      </c>
      <c r="K762" s="110" t="s">
        <v>283</v>
      </c>
      <c r="L762" s="39"/>
      <c r="M762" s="108" t="s">
        <v>1440</v>
      </c>
      <c r="N762" s="39">
        <v>10</v>
      </c>
      <c r="O762" s="40"/>
      <c r="P762" s="107">
        <v>85.33</v>
      </c>
      <c r="Q762" s="28">
        <f>data[[#This Row],[Costo Producto
Proveedor ($/Unid)]]*data[[#This Row],[Cantidad]]</f>
        <v>0</v>
      </c>
      <c r="R762" s="119">
        <f>data[[#This Row],[Cantidad]]*data[[#This Row],[Precio de Venta Cliente ($/Unid)]]</f>
        <v>853.3</v>
      </c>
      <c r="S762" s="29"/>
      <c r="T762" s="109" t="s">
        <v>119</v>
      </c>
      <c r="U762" s="109"/>
      <c r="V762" s="30" t="s">
        <v>42</v>
      </c>
      <c r="W762" s="32" t="s">
        <v>42</v>
      </c>
      <c r="X762" s="39" t="s">
        <v>23</v>
      </c>
      <c r="Y762" s="39" t="s">
        <v>23</v>
      </c>
      <c r="Z762" s="39" t="s">
        <v>50</v>
      </c>
      <c r="AA762" s="109"/>
    </row>
    <row r="763" spans="1:27" s="38" customFormat="1" x14ac:dyDescent="0.25">
      <c r="B763" s="104"/>
      <c r="C763" s="174" t="str">
        <f>TEXT(data[[#This Row],[Fecha de Envío
Cotización]],"MMMM")</f>
        <v>mayo</v>
      </c>
      <c r="D763" s="104">
        <v>44327</v>
      </c>
      <c r="E763" s="174" t="str">
        <f>IF(data[[#This Row],[Estatus de 
Cotización]]="PERDIDO","N/A","")</f>
        <v>N/A</v>
      </c>
      <c r="F763" s="104"/>
      <c r="G763" s="109"/>
      <c r="H763" s="104"/>
      <c r="I763" s="86">
        <v>5115987</v>
      </c>
      <c r="J763" s="106">
        <v>1556</v>
      </c>
      <c r="K763" s="110" t="s">
        <v>283</v>
      </c>
      <c r="L763" s="39"/>
      <c r="M763" s="108" t="s">
        <v>1441</v>
      </c>
      <c r="N763" s="39">
        <v>5</v>
      </c>
      <c r="O763" s="40"/>
      <c r="P763" s="107">
        <v>147.97999999999999</v>
      </c>
      <c r="Q763" s="28">
        <f>data[[#This Row],[Costo Producto
Proveedor ($/Unid)]]*data[[#This Row],[Cantidad]]</f>
        <v>0</v>
      </c>
      <c r="R763" s="119">
        <f>data[[#This Row],[Cantidad]]*data[[#This Row],[Precio de Venta Cliente ($/Unid)]]</f>
        <v>739.9</v>
      </c>
      <c r="S763" s="29"/>
      <c r="T763" s="109" t="s">
        <v>119</v>
      </c>
      <c r="U763" s="109"/>
      <c r="V763" s="30" t="s">
        <v>42</v>
      </c>
      <c r="W763" s="32" t="s">
        <v>42</v>
      </c>
      <c r="X763" s="39" t="s">
        <v>23</v>
      </c>
      <c r="Y763" s="39" t="s">
        <v>23</v>
      </c>
      <c r="Z763" s="39" t="s">
        <v>50</v>
      </c>
      <c r="AA763" s="109"/>
    </row>
    <row r="764" spans="1:27" s="38" customFormat="1" x14ac:dyDescent="0.25">
      <c r="B764" s="104"/>
      <c r="C764" s="174" t="str">
        <f>TEXT(data[[#This Row],[Fecha de Envío
Cotización]],"MMMM")</f>
        <v>mayo</v>
      </c>
      <c r="D764" s="104">
        <v>44327</v>
      </c>
      <c r="E764" s="174" t="str">
        <f>IF(data[[#This Row],[Estatus de 
Cotización]]="PERDIDO","N/A","")</f>
        <v>N/A</v>
      </c>
      <c r="F764" s="104"/>
      <c r="G764" s="109"/>
      <c r="H764" s="104"/>
      <c r="I764" s="86">
        <v>5115988</v>
      </c>
      <c r="J764" s="106">
        <v>1556</v>
      </c>
      <c r="K764" s="110" t="s">
        <v>283</v>
      </c>
      <c r="L764" s="39"/>
      <c r="M764" s="108" t="s">
        <v>1442</v>
      </c>
      <c r="N764" s="39">
        <v>5</v>
      </c>
      <c r="O764" s="40"/>
      <c r="P764" s="107">
        <v>111.44</v>
      </c>
      <c r="Q764" s="28">
        <f>data[[#This Row],[Costo Producto
Proveedor ($/Unid)]]*data[[#This Row],[Cantidad]]</f>
        <v>0</v>
      </c>
      <c r="R764" s="119">
        <f>data[[#This Row],[Cantidad]]*data[[#This Row],[Precio de Venta Cliente ($/Unid)]]</f>
        <v>557.20000000000005</v>
      </c>
      <c r="S764" s="29"/>
      <c r="T764" s="109" t="s">
        <v>119</v>
      </c>
      <c r="U764" s="109"/>
      <c r="V764" s="30" t="s">
        <v>42</v>
      </c>
      <c r="W764" s="32" t="s">
        <v>42</v>
      </c>
      <c r="X764" s="39" t="s">
        <v>23</v>
      </c>
      <c r="Y764" s="39" t="s">
        <v>23</v>
      </c>
      <c r="Z764" s="39" t="s">
        <v>50</v>
      </c>
      <c r="AA764" s="109"/>
    </row>
    <row r="765" spans="1:27" s="38" customFormat="1" x14ac:dyDescent="0.25">
      <c r="B765" s="174"/>
      <c r="C765" s="174" t="str">
        <f>TEXT(data[[#This Row],[Fecha de Envío
Cotización]],"MMMM")</f>
        <v>mayo</v>
      </c>
      <c r="D765" s="174">
        <v>44327</v>
      </c>
      <c r="E765" s="174">
        <v>44330</v>
      </c>
      <c r="F765" s="174"/>
      <c r="G765" s="109">
        <v>5500025178</v>
      </c>
      <c r="H765" s="174">
        <v>44330</v>
      </c>
      <c r="I765" s="86">
        <v>5115994</v>
      </c>
      <c r="J765" s="106">
        <v>1561</v>
      </c>
      <c r="K765" s="110" t="s">
        <v>283</v>
      </c>
      <c r="L765" s="106"/>
      <c r="M765" s="108" t="s">
        <v>1445</v>
      </c>
      <c r="N765" s="106">
        <v>1</v>
      </c>
      <c r="O765" s="107"/>
      <c r="P765" s="107">
        <v>772.15</v>
      </c>
      <c r="Q765" s="28">
        <f>data[[#This Row],[Costo Producto
Proveedor ($/Unid)]]*data[[#This Row],[Cantidad]]</f>
        <v>0</v>
      </c>
      <c r="R765" s="120">
        <f>data[[#This Row],[Cantidad]]*data[[#This Row],[Precio de Venta Cliente ($/Unid)]]</f>
        <v>772.15</v>
      </c>
      <c r="S765" s="29"/>
      <c r="T765" s="109" t="s">
        <v>51</v>
      </c>
      <c r="U765" s="109"/>
      <c r="V765" s="30" t="s">
        <v>44</v>
      </c>
      <c r="W765" s="32" t="s">
        <v>44</v>
      </c>
      <c r="X765" s="106" t="s">
        <v>503</v>
      </c>
      <c r="Y765" s="106" t="s">
        <v>503</v>
      </c>
      <c r="Z765" s="106" t="s">
        <v>50</v>
      </c>
      <c r="AA765" s="109"/>
    </row>
    <row r="766" spans="1:27" s="38" customFormat="1" x14ac:dyDescent="0.25">
      <c r="B766" s="174"/>
      <c r="C766" s="174" t="str">
        <f>TEXT(data[[#This Row],[Fecha de Envío
Cotización]],"MMMM")</f>
        <v>mayo</v>
      </c>
      <c r="D766" s="174">
        <v>44328</v>
      </c>
      <c r="E766" s="174" t="str">
        <f>IF(data[[#This Row],[Estatus de 
Cotización]]="PERDIDO","N/A","")</f>
        <v/>
      </c>
      <c r="F766" s="174"/>
      <c r="G766" s="109"/>
      <c r="H766" s="174"/>
      <c r="I766" s="86">
        <v>5115998</v>
      </c>
      <c r="J766" s="106">
        <v>1563</v>
      </c>
      <c r="K766" s="110" t="s">
        <v>33</v>
      </c>
      <c r="L766" s="106"/>
      <c r="M766" s="108" t="s">
        <v>1449</v>
      </c>
      <c r="N766" s="106">
        <v>4</v>
      </c>
      <c r="O766" s="107"/>
      <c r="P766" s="107">
        <v>246.5</v>
      </c>
      <c r="Q766" s="28">
        <f>data[[#This Row],[Costo Producto
Proveedor ($/Unid)]]*data[[#This Row],[Cantidad]]</f>
        <v>0</v>
      </c>
      <c r="R766" s="28">
        <f>data[[#This Row],[Cantidad]]*data[[#This Row],[Precio de Venta Cliente ($/Unid)]]</f>
        <v>986</v>
      </c>
      <c r="S766" s="114"/>
      <c r="T766" s="109" t="s">
        <v>419</v>
      </c>
      <c r="U766" s="109"/>
      <c r="V766" s="30" t="s">
        <v>46</v>
      </c>
      <c r="W766" s="32" t="s">
        <v>46</v>
      </c>
      <c r="X766" s="106" t="s">
        <v>23</v>
      </c>
      <c r="Y766" s="106" t="s">
        <v>23</v>
      </c>
      <c r="Z766" s="106" t="s">
        <v>50</v>
      </c>
      <c r="AA766" s="109"/>
    </row>
    <row r="767" spans="1:27" s="38" customFormat="1" x14ac:dyDescent="0.25">
      <c r="B767" s="174"/>
      <c r="C767" s="174" t="str">
        <f>TEXT(data[[#This Row],[Fecha de Envío
Cotización]],"MMMM")</f>
        <v>mayo</v>
      </c>
      <c r="D767" s="174">
        <v>44328</v>
      </c>
      <c r="E767" s="174" t="str">
        <f>IF(data[[#This Row],[Estatus de 
Cotización]]="PERDIDO","N/A","")</f>
        <v/>
      </c>
      <c r="F767" s="174"/>
      <c r="G767" s="109"/>
      <c r="H767" s="174"/>
      <c r="I767" s="86">
        <v>5115999</v>
      </c>
      <c r="J767" s="106">
        <v>1563</v>
      </c>
      <c r="K767" s="110" t="s">
        <v>1066</v>
      </c>
      <c r="L767" s="106"/>
      <c r="M767" s="108" t="s">
        <v>1450</v>
      </c>
      <c r="N767" s="106">
        <v>5</v>
      </c>
      <c r="O767" s="107"/>
      <c r="P767" s="107">
        <v>103.71</v>
      </c>
      <c r="Q767" s="28">
        <f>data[[#This Row],[Costo Producto
Proveedor ($/Unid)]]*data[[#This Row],[Cantidad]]</f>
        <v>0</v>
      </c>
      <c r="R767" s="28">
        <f>data[[#This Row],[Cantidad]]*data[[#This Row],[Precio de Venta Cliente ($/Unid)]]</f>
        <v>518.54999999999995</v>
      </c>
      <c r="S767" s="114"/>
      <c r="T767" s="109" t="s">
        <v>419</v>
      </c>
      <c r="U767" s="109"/>
      <c r="V767" s="30" t="s">
        <v>46</v>
      </c>
      <c r="W767" s="32" t="s">
        <v>46</v>
      </c>
      <c r="X767" s="106" t="s">
        <v>23</v>
      </c>
      <c r="Y767" s="106" t="s">
        <v>23</v>
      </c>
      <c r="Z767" s="106" t="s">
        <v>50</v>
      </c>
      <c r="AA767" s="109"/>
    </row>
    <row r="768" spans="1:27" x14ac:dyDescent="0.25">
      <c r="B768" s="174"/>
      <c r="C768" s="174" t="str">
        <f>TEXT(data[[#This Row],[Fecha de Envío
Cotización]],"MMMM")</f>
        <v>mayo</v>
      </c>
      <c r="D768" s="174">
        <v>44328</v>
      </c>
      <c r="E768" s="174">
        <v>44348</v>
      </c>
      <c r="F768" s="174">
        <v>44362</v>
      </c>
      <c r="G768" s="109">
        <v>4500486978</v>
      </c>
      <c r="H768" s="174">
        <v>44348</v>
      </c>
      <c r="I768" s="86">
        <v>51151000</v>
      </c>
      <c r="J768" s="106">
        <v>1564</v>
      </c>
      <c r="K768" s="24" t="s">
        <v>1109</v>
      </c>
      <c r="L768" s="106"/>
      <c r="M768" s="108" t="s">
        <v>1451</v>
      </c>
      <c r="N768" s="106">
        <v>1</v>
      </c>
      <c r="O768" s="107"/>
      <c r="P768" s="107">
        <v>877.56</v>
      </c>
      <c r="Q768" s="28">
        <f>data[[#This Row],[Costo Producto
Proveedor ($/Unid)]]*data[[#This Row],[Cantidad]]</f>
        <v>0</v>
      </c>
      <c r="R768" s="28">
        <f>data[[#This Row],[Cantidad]]*data[[#This Row],[Precio de Venta Cliente ($/Unid)]]</f>
        <v>877.56</v>
      </c>
      <c r="S768" s="114"/>
      <c r="T768" s="109" t="s">
        <v>51</v>
      </c>
      <c r="U768" s="109"/>
      <c r="V768" s="30" t="s">
        <v>44</v>
      </c>
      <c r="W768" s="32" t="s">
        <v>44</v>
      </c>
      <c r="X768" s="106" t="s">
        <v>45</v>
      </c>
      <c r="Y768" s="106" t="s">
        <v>47</v>
      </c>
      <c r="Z768" s="106" t="s">
        <v>50</v>
      </c>
      <c r="AA768" s="109"/>
    </row>
    <row r="769" spans="2:27" s="50" customFormat="1" x14ac:dyDescent="0.25">
      <c r="B769" s="174"/>
      <c r="C769" s="174" t="str">
        <f>TEXT(data[[#This Row],[Fecha de Envío
Cotización]],"MMMM")</f>
        <v>mayo</v>
      </c>
      <c r="D769" s="174">
        <v>44329</v>
      </c>
      <c r="E769" s="174" t="str">
        <f>IF(data[[#This Row],[Estatus de 
Cotización]]="PERDIDO","N/A","")</f>
        <v/>
      </c>
      <c r="F769" s="174"/>
      <c r="G769" s="109"/>
      <c r="H769" s="174"/>
      <c r="I769" s="86">
        <v>51151001</v>
      </c>
      <c r="J769" s="106">
        <v>1565</v>
      </c>
      <c r="K769" s="24" t="s">
        <v>1109</v>
      </c>
      <c r="L769" s="106"/>
      <c r="M769" s="108" t="s">
        <v>1452</v>
      </c>
      <c r="N769" s="106">
        <v>1</v>
      </c>
      <c r="O769" s="107"/>
      <c r="P769" s="107">
        <v>212.39</v>
      </c>
      <c r="Q769" s="28">
        <f>data[[#This Row],[Costo Producto
Proveedor ($/Unid)]]*data[[#This Row],[Cantidad]]</f>
        <v>0</v>
      </c>
      <c r="R769" s="28">
        <f>data[[#This Row],[Cantidad]]*data[[#This Row],[Precio de Venta Cliente ($/Unid)]]</f>
        <v>212.39</v>
      </c>
      <c r="S769" s="114"/>
      <c r="T769" s="109" t="s">
        <v>134</v>
      </c>
      <c r="U769" s="109"/>
      <c r="V769" s="30" t="s">
        <v>46</v>
      </c>
      <c r="W769" s="32" t="s">
        <v>46</v>
      </c>
      <c r="X769" s="106" t="s">
        <v>23</v>
      </c>
      <c r="Y769" s="106" t="s">
        <v>23</v>
      </c>
      <c r="Z769" s="106" t="s">
        <v>50</v>
      </c>
      <c r="AA769" s="109"/>
    </row>
    <row r="770" spans="2:27" s="105" customFormat="1" x14ac:dyDescent="0.25">
      <c r="B770" s="174"/>
      <c r="C770" s="174" t="str">
        <f>TEXT(data[[#This Row],[Fecha de Envío
Cotización]],"MMMM")</f>
        <v>mayo</v>
      </c>
      <c r="D770" s="174">
        <v>44329</v>
      </c>
      <c r="E770" s="174" t="str">
        <f>IF(data[[#This Row],[Estatus de 
Cotización]]="PERDIDO","N/A","")</f>
        <v/>
      </c>
      <c r="F770" s="174"/>
      <c r="G770" s="109"/>
      <c r="H770" s="174"/>
      <c r="I770" s="86">
        <v>51151002</v>
      </c>
      <c r="J770" s="106">
        <v>1566</v>
      </c>
      <c r="K770" s="110" t="s">
        <v>33</v>
      </c>
      <c r="L770" s="106"/>
      <c r="M770" s="108" t="s">
        <v>1453</v>
      </c>
      <c r="N770" s="106">
        <v>1</v>
      </c>
      <c r="O770" s="107"/>
      <c r="P770" s="107">
        <v>648</v>
      </c>
      <c r="Q770" s="28">
        <f>data[[#This Row],[Costo Producto
Proveedor ($/Unid)]]*data[[#This Row],[Cantidad]]</f>
        <v>0</v>
      </c>
      <c r="R770" s="28">
        <f>data[[#This Row],[Cantidad]]*data[[#This Row],[Precio de Venta Cliente ($/Unid)]]</f>
        <v>648</v>
      </c>
      <c r="S770" s="114"/>
      <c r="T770" s="109" t="s">
        <v>51</v>
      </c>
      <c r="U770" s="109"/>
      <c r="V770" s="30" t="s">
        <v>46</v>
      </c>
      <c r="W770" s="32" t="s">
        <v>46</v>
      </c>
      <c r="X770" s="106" t="s">
        <v>23</v>
      </c>
      <c r="Y770" s="106" t="s">
        <v>23</v>
      </c>
      <c r="Z770" s="106" t="s">
        <v>50</v>
      </c>
      <c r="AA770" s="109"/>
    </row>
    <row r="771" spans="2:27" s="105" customFormat="1" x14ac:dyDescent="0.25">
      <c r="B771" s="174"/>
      <c r="C771" s="174" t="str">
        <f>TEXT(data[[#This Row],[Fecha de Envío
Cotización]],"MMMM")</f>
        <v>mayo</v>
      </c>
      <c r="D771" s="174">
        <v>44329</v>
      </c>
      <c r="E771" s="174" t="str">
        <f>IF(data[[#This Row],[Estatus de 
Cotización]]="PERDIDO","N/A","")</f>
        <v>N/A</v>
      </c>
      <c r="F771" s="174"/>
      <c r="G771" s="109"/>
      <c r="H771" s="174"/>
      <c r="I771" s="86">
        <v>51151003</v>
      </c>
      <c r="J771" s="106">
        <v>1567</v>
      </c>
      <c r="K771" s="110" t="s">
        <v>55</v>
      </c>
      <c r="L771" s="106"/>
      <c r="M771" s="108" t="s">
        <v>1454</v>
      </c>
      <c r="N771" s="106">
        <v>1</v>
      </c>
      <c r="O771" s="107"/>
      <c r="P771" s="107">
        <v>3982.34</v>
      </c>
      <c r="Q771" s="28">
        <f>data[[#This Row],[Costo Producto
Proveedor ($/Unid)]]*data[[#This Row],[Cantidad]]</f>
        <v>0</v>
      </c>
      <c r="R771" s="28">
        <f>data[[#This Row],[Cantidad]]*data[[#This Row],[Precio de Venta Cliente ($/Unid)]]</f>
        <v>3982.34</v>
      </c>
      <c r="S771" s="114"/>
      <c r="T771" s="109" t="s">
        <v>119</v>
      </c>
      <c r="U771" s="109"/>
      <c r="V771" s="30" t="s">
        <v>42</v>
      </c>
      <c r="W771" s="32" t="s">
        <v>42</v>
      </c>
      <c r="X771" s="106" t="s">
        <v>23</v>
      </c>
      <c r="Y771" s="106" t="s">
        <v>23</v>
      </c>
      <c r="Z771" s="106" t="s">
        <v>50</v>
      </c>
      <c r="AA771" s="109"/>
    </row>
    <row r="772" spans="2:27" s="105" customFormat="1" x14ac:dyDescent="0.25">
      <c r="B772" s="174"/>
      <c r="C772" s="174" t="str">
        <f>TEXT(data[[#This Row],[Fecha de Envío
Cotización]],"MMMM")</f>
        <v>mayo</v>
      </c>
      <c r="D772" s="174">
        <v>44329</v>
      </c>
      <c r="E772" s="174" t="str">
        <f>IF(data[[#This Row],[Estatus de 
Cotización]]="PERDIDO","N/A","")</f>
        <v/>
      </c>
      <c r="F772" s="174"/>
      <c r="G772" s="109"/>
      <c r="H772" s="174"/>
      <c r="I772" s="86">
        <v>51151004</v>
      </c>
      <c r="J772" s="106">
        <v>1568</v>
      </c>
      <c r="K772" s="110" t="s">
        <v>126</v>
      </c>
      <c r="L772" s="106"/>
      <c r="M772" s="108" t="s">
        <v>1455</v>
      </c>
      <c r="N772" s="106">
        <v>1</v>
      </c>
      <c r="O772" s="107"/>
      <c r="P772" s="107">
        <v>542.87</v>
      </c>
      <c r="Q772" s="28">
        <f>data[[#This Row],[Costo Producto
Proveedor ($/Unid)]]*data[[#This Row],[Cantidad]]</f>
        <v>0</v>
      </c>
      <c r="R772" s="28">
        <f>data[[#This Row],[Cantidad]]*data[[#This Row],[Precio de Venta Cliente ($/Unid)]]</f>
        <v>542.87</v>
      </c>
      <c r="S772" s="114"/>
      <c r="T772" s="109" t="s">
        <v>51</v>
      </c>
      <c r="U772" s="109"/>
      <c r="V772" s="30" t="s">
        <v>46</v>
      </c>
      <c r="W772" s="32" t="s">
        <v>46</v>
      </c>
      <c r="X772" s="106" t="s">
        <v>23</v>
      </c>
      <c r="Y772" s="106" t="s">
        <v>23</v>
      </c>
      <c r="Z772" s="106" t="s">
        <v>50</v>
      </c>
      <c r="AA772" s="109"/>
    </row>
    <row r="773" spans="2:27" s="105" customFormat="1" x14ac:dyDescent="0.25">
      <c r="B773" s="174"/>
      <c r="C773" s="174" t="str">
        <f>TEXT(data[[#This Row],[Fecha de Envío
Cotización]],"MMMM")</f>
        <v>mayo</v>
      </c>
      <c r="D773" s="174">
        <v>44329</v>
      </c>
      <c r="E773" s="174" t="str">
        <f>IF(data[[#This Row],[Estatus de 
Cotización]]="PERDIDO","N/A","")</f>
        <v/>
      </c>
      <c r="F773" s="174"/>
      <c r="G773" s="109"/>
      <c r="H773" s="174"/>
      <c r="I773" s="86">
        <v>51151005</v>
      </c>
      <c r="J773" s="106">
        <v>1569</v>
      </c>
      <c r="K773" s="110" t="s">
        <v>33</v>
      </c>
      <c r="L773" s="106"/>
      <c r="M773" s="108" t="s">
        <v>1456</v>
      </c>
      <c r="N773" s="106">
        <v>20</v>
      </c>
      <c r="O773" s="107"/>
      <c r="P773" s="107">
        <v>57.34</v>
      </c>
      <c r="Q773" s="28">
        <f>data[[#This Row],[Costo Producto
Proveedor ($/Unid)]]*data[[#This Row],[Cantidad]]</f>
        <v>0</v>
      </c>
      <c r="R773" s="28">
        <f>data[[#This Row],[Cantidad]]*data[[#This Row],[Precio de Venta Cliente ($/Unid)]]</f>
        <v>1146.8000000000002</v>
      </c>
      <c r="S773" s="114"/>
      <c r="T773" s="109" t="s">
        <v>51</v>
      </c>
      <c r="U773" s="109"/>
      <c r="V773" s="30" t="s">
        <v>46</v>
      </c>
      <c r="W773" s="32" t="s">
        <v>46</v>
      </c>
      <c r="X773" s="106" t="s">
        <v>23</v>
      </c>
      <c r="Y773" s="106" t="s">
        <v>23</v>
      </c>
      <c r="Z773" s="106" t="s">
        <v>50</v>
      </c>
      <c r="AA773" s="109"/>
    </row>
    <row r="774" spans="2:27" s="105" customFormat="1" x14ac:dyDescent="0.25">
      <c r="B774" s="174"/>
      <c r="C774" s="174" t="str">
        <f>TEXT(data[[#This Row],[Fecha de Envío
Cotización]],"MMMM")</f>
        <v>mayo</v>
      </c>
      <c r="D774" s="174">
        <v>44329</v>
      </c>
      <c r="E774" s="174" t="str">
        <f>IF(data[[#This Row],[Estatus de 
Cotización]]="PERDIDO","N/A","")</f>
        <v/>
      </c>
      <c r="F774" s="174"/>
      <c r="G774" s="109"/>
      <c r="H774" s="174"/>
      <c r="I774" s="86">
        <v>51151006</v>
      </c>
      <c r="J774" s="106">
        <v>1569</v>
      </c>
      <c r="K774" s="110" t="s">
        <v>33</v>
      </c>
      <c r="L774" s="106"/>
      <c r="M774" s="108" t="s">
        <v>1457</v>
      </c>
      <c r="N774" s="106">
        <v>20</v>
      </c>
      <c r="O774" s="107"/>
      <c r="P774" s="107">
        <v>28.44</v>
      </c>
      <c r="Q774" s="28">
        <f>data[[#This Row],[Costo Producto
Proveedor ($/Unid)]]*data[[#This Row],[Cantidad]]</f>
        <v>0</v>
      </c>
      <c r="R774" s="28">
        <f>data[[#This Row],[Cantidad]]*data[[#This Row],[Precio de Venta Cliente ($/Unid)]]</f>
        <v>568.80000000000007</v>
      </c>
      <c r="S774" s="29"/>
      <c r="T774" s="109" t="s">
        <v>51</v>
      </c>
      <c r="U774" s="109"/>
      <c r="V774" s="30" t="s">
        <v>46</v>
      </c>
      <c r="W774" s="32" t="s">
        <v>46</v>
      </c>
      <c r="X774" s="106" t="s">
        <v>23</v>
      </c>
      <c r="Y774" s="106" t="s">
        <v>23</v>
      </c>
      <c r="Z774" s="106" t="s">
        <v>50</v>
      </c>
      <c r="AA774" s="109"/>
    </row>
    <row r="775" spans="2:27" s="105" customFormat="1" x14ac:dyDescent="0.25">
      <c r="B775" s="104"/>
      <c r="C775" s="174" t="str">
        <f>TEXT(data[[#This Row],[Fecha de Envío
Cotización]],"MMMM")</f>
        <v>mayo</v>
      </c>
      <c r="D775" s="104">
        <v>44329</v>
      </c>
      <c r="E775" s="174" t="str">
        <f>IF(data[[#This Row],[Estatus de 
Cotización]]="PERDIDO","N/A","")</f>
        <v/>
      </c>
      <c r="F775" s="104"/>
      <c r="G775" s="109"/>
      <c r="H775" s="104"/>
      <c r="I775" s="86">
        <v>51151007</v>
      </c>
      <c r="J775" s="106">
        <v>1570</v>
      </c>
      <c r="K775" s="110" t="s">
        <v>1066</v>
      </c>
      <c r="L775" s="106"/>
      <c r="M775" s="108" t="s">
        <v>1458</v>
      </c>
      <c r="N775" s="106">
        <v>8</v>
      </c>
      <c r="O775" s="107"/>
      <c r="P775" s="107">
        <v>119.18</v>
      </c>
      <c r="Q775" s="28">
        <f>data[[#This Row],[Costo Producto
Proveedor ($/Unid)]]*data[[#This Row],[Cantidad]]</f>
        <v>0</v>
      </c>
      <c r="R775" s="28">
        <f>data[[#This Row],[Cantidad]]*data[[#This Row],[Precio de Venta Cliente ($/Unid)]]</f>
        <v>953.44</v>
      </c>
      <c r="S775" s="29"/>
      <c r="T775" s="109" t="s">
        <v>51</v>
      </c>
      <c r="U775" s="109"/>
      <c r="V775" s="30" t="s">
        <v>46</v>
      </c>
      <c r="W775" s="32" t="s">
        <v>46</v>
      </c>
      <c r="X775" s="106" t="s">
        <v>23</v>
      </c>
      <c r="Y775" s="106" t="s">
        <v>23</v>
      </c>
      <c r="Z775" s="106" t="s">
        <v>50</v>
      </c>
      <c r="AA775" s="109"/>
    </row>
    <row r="776" spans="2:27" s="105" customFormat="1" x14ac:dyDescent="0.25">
      <c r="B776" s="104"/>
      <c r="C776" s="174" t="str">
        <f>TEXT(data[[#This Row],[Fecha de Envío
Cotización]],"MMMM")</f>
        <v>junio</v>
      </c>
      <c r="D776" s="124">
        <v>44364</v>
      </c>
      <c r="E776" s="174" t="str">
        <f>IF(data[[#This Row],[Estatus de 
Cotización]]="PERDIDO","N/A","")</f>
        <v/>
      </c>
      <c r="F776" s="104"/>
      <c r="G776" s="109"/>
      <c r="H776" s="104"/>
      <c r="I776" s="86">
        <v>12190147709</v>
      </c>
      <c r="J776" s="106">
        <v>813</v>
      </c>
      <c r="K776" s="110" t="s">
        <v>283</v>
      </c>
      <c r="L776" s="106"/>
      <c r="M776" s="3" t="s">
        <v>2254</v>
      </c>
      <c r="N776" s="106">
        <v>5</v>
      </c>
      <c r="O776" s="107"/>
      <c r="P776" s="107">
        <v>389.92</v>
      </c>
      <c r="Q776" s="28">
        <f>data[[#This Row],[Costo Producto
Proveedor ($/Unid)]]*data[[#This Row],[Cantidad]]</f>
        <v>0</v>
      </c>
      <c r="R776" s="28">
        <f>data[[#This Row],[Cantidad]]*data[[#This Row],[Precio de Venta Cliente ($/Unid)]]</f>
        <v>1949.6000000000001</v>
      </c>
      <c r="S776" s="29"/>
      <c r="T776" s="31" t="s">
        <v>36</v>
      </c>
      <c r="U776" s="109"/>
      <c r="V776" s="30" t="s">
        <v>46</v>
      </c>
      <c r="W776" s="32" t="s">
        <v>46</v>
      </c>
      <c r="X776" s="106" t="s">
        <v>503</v>
      </c>
      <c r="Y776" s="106" t="s">
        <v>503</v>
      </c>
      <c r="Z776" s="106" t="s">
        <v>50</v>
      </c>
      <c r="AA776" s="109"/>
    </row>
    <row r="777" spans="2:27" s="105" customFormat="1" x14ac:dyDescent="0.25">
      <c r="B777" s="174"/>
      <c r="C777" s="174" t="str">
        <f>TEXT(data[[#This Row],[Fecha de Envío
Cotización]],"MMMM")</f>
        <v>mayo</v>
      </c>
      <c r="D777" s="174">
        <v>44329</v>
      </c>
      <c r="E777" s="174">
        <v>44335</v>
      </c>
      <c r="F777" s="174"/>
      <c r="G777" s="109">
        <v>5500025302</v>
      </c>
      <c r="H777" s="174">
        <v>44335</v>
      </c>
      <c r="I777" s="86">
        <v>51151009</v>
      </c>
      <c r="J777" s="106">
        <v>1572</v>
      </c>
      <c r="K777" s="110" t="s">
        <v>283</v>
      </c>
      <c r="L777" s="106"/>
      <c r="M777" s="108" t="s">
        <v>1460</v>
      </c>
      <c r="N777" s="106">
        <v>1</v>
      </c>
      <c r="O777" s="107"/>
      <c r="P777" s="107">
        <v>491.58</v>
      </c>
      <c r="Q777" s="28">
        <f>data[[#This Row],[Costo Producto
Proveedor ($/Unid)]]*data[[#This Row],[Cantidad]]</f>
        <v>0</v>
      </c>
      <c r="R777" s="28">
        <f>data[[#This Row],[Cantidad]]*data[[#This Row],[Precio de Venta Cliente ($/Unid)]]</f>
        <v>491.58</v>
      </c>
      <c r="S777" s="29"/>
      <c r="T777" s="109" t="s">
        <v>51</v>
      </c>
      <c r="U777" s="109"/>
      <c r="V777" s="30" t="s">
        <v>44</v>
      </c>
      <c r="W777" s="32" t="s">
        <v>44</v>
      </c>
      <c r="X777" s="106" t="s">
        <v>503</v>
      </c>
      <c r="Y777" s="106" t="s">
        <v>503</v>
      </c>
      <c r="Z777" s="106" t="s">
        <v>50</v>
      </c>
      <c r="AA777" s="109"/>
    </row>
    <row r="778" spans="2:27" s="105" customFormat="1" x14ac:dyDescent="0.25">
      <c r="B778" s="174"/>
      <c r="C778" s="174" t="str">
        <f>TEXT(data[[#This Row],[Fecha de Envío
Cotización]],"MMMM")</f>
        <v>mayo</v>
      </c>
      <c r="D778" s="174">
        <v>44330</v>
      </c>
      <c r="E778" s="174" t="str">
        <f>IF(data[[#This Row],[Estatus de 
Cotización]]="PERDIDO","N/A","")</f>
        <v/>
      </c>
      <c r="F778" s="174"/>
      <c r="G778" s="109"/>
      <c r="H778" s="174"/>
      <c r="I778" s="86">
        <v>511510015</v>
      </c>
      <c r="J778" s="106">
        <v>1573</v>
      </c>
      <c r="K778" s="110" t="s">
        <v>1500</v>
      </c>
      <c r="L778" s="106"/>
      <c r="M778" s="108" t="s">
        <v>2319</v>
      </c>
      <c r="N778" s="106">
        <v>10</v>
      </c>
      <c r="O778" s="107"/>
      <c r="P778" s="107">
        <v>1545.17</v>
      </c>
      <c r="Q778" s="28">
        <f>data[[#This Row],[Costo Producto
Proveedor ($/Unid)]]*data[[#This Row],[Cantidad]]</f>
        <v>0</v>
      </c>
      <c r="R778" s="28">
        <f>data[[#This Row],[Cantidad]]*data[[#This Row],[Precio de Venta Cliente ($/Unid)]]</f>
        <v>15451.7</v>
      </c>
      <c r="S778" s="29"/>
      <c r="T778" s="109" t="s">
        <v>22</v>
      </c>
      <c r="U778" s="109"/>
      <c r="V778" s="30" t="s">
        <v>46</v>
      </c>
      <c r="W778" s="32" t="s">
        <v>46</v>
      </c>
      <c r="X778" s="106" t="s">
        <v>23</v>
      </c>
      <c r="Y778" s="106" t="s">
        <v>23</v>
      </c>
      <c r="Z778" s="106" t="s">
        <v>50</v>
      </c>
      <c r="AA778" s="109"/>
    </row>
    <row r="779" spans="2:27" s="105" customFormat="1" x14ac:dyDescent="0.25">
      <c r="B779" s="174"/>
      <c r="C779" s="174" t="str">
        <f>TEXT(data[[#This Row],[Fecha de Envío
Cotización]],"MMMM")</f>
        <v>mayo</v>
      </c>
      <c r="D779" s="174">
        <v>44330</v>
      </c>
      <c r="E779" s="174" t="str">
        <f>IF(data[[#This Row],[Estatus de 
Cotización]]="PERDIDO","N/A","")</f>
        <v/>
      </c>
      <c r="F779" s="174"/>
      <c r="G779" s="109"/>
      <c r="H779" s="174"/>
      <c r="I779" s="86">
        <v>511510016</v>
      </c>
      <c r="J779" s="106">
        <v>1574</v>
      </c>
      <c r="K779" s="110" t="s">
        <v>346</v>
      </c>
      <c r="L779" s="106"/>
      <c r="M779" s="108" t="s">
        <v>1481</v>
      </c>
      <c r="N779" s="106">
        <v>1</v>
      </c>
      <c r="O779" s="107"/>
      <c r="P779" s="107">
        <v>633.76</v>
      </c>
      <c r="Q779" s="28">
        <f>data[[#This Row],[Costo Producto
Proveedor ($/Unid)]]*data[[#This Row],[Cantidad]]</f>
        <v>0</v>
      </c>
      <c r="R779" s="28">
        <f>data[[#This Row],[Cantidad]]*data[[#This Row],[Precio de Venta Cliente ($/Unid)]]</f>
        <v>633.76</v>
      </c>
      <c r="S779" s="29"/>
      <c r="T779" s="109" t="s">
        <v>51</v>
      </c>
      <c r="U779" s="109"/>
      <c r="V779" s="30" t="s">
        <v>46</v>
      </c>
      <c r="W779" s="32" t="s">
        <v>46</v>
      </c>
      <c r="X779" s="106" t="s">
        <v>23</v>
      </c>
      <c r="Y779" s="106" t="s">
        <v>23</v>
      </c>
      <c r="Z779" s="106" t="s">
        <v>50</v>
      </c>
      <c r="AA779" s="109"/>
    </row>
    <row r="780" spans="2:27" s="105" customFormat="1" x14ac:dyDescent="0.25">
      <c r="B780" s="174"/>
      <c r="C780" s="174" t="str">
        <f>TEXT(data[[#This Row],[Fecha de Envío
Cotización]],"MMMM")</f>
        <v>mayo</v>
      </c>
      <c r="D780" s="174">
        <v>44330</v>
      </c>
      <c r="E780" s="174" t="str">
        <f>IF(data[[#This Row],[Estatus de 
Cotización]]="PERDIDO","N/A","")</f>
        <v/>
      </c>
      <c r="F780" s="174"/>
      <c r="G780" s="109"/>
      <c r="H780" s="174"/>
      <c r="I780" s="86">
        <v>511510017</v>
      </c>
      <c r="J780" s="106">
        <v>1574</v>
      </c>
      <c r="K780" s="110" t="s">
        <v>346</v>
      </c>
      <c r="L780" s="106"/>
      <c r="M780" s="108" t="s">
        <v>1482</v>
      </c>
      <c r="N780" s="106">
        <v>1</v>
      </c>
      <c r="O780" s="107"/>
      <c r="P780" s="107">
        <v>438.95</v>
      </c>
      <c r="Q780" s="28">
        <f>data[[#This Row],[Costo Producto
Proveedor ($/Unid)]]*data[[#This Row],[Cantidad]]</f>
        <v>0</v>
      </c>
      <c r="R780" s="28">
        <f>data[[#This Row],[Cantidad]]*data[[#This Row],[Precio de Venta Cliente ($/Unid)]]</f>
        <v>438.95</v>
      </c>
      <c r="S780" s="29"/>
      <c r="T780" s="109" t="s">
        <v>51</v>
      </c>
      <c r="U780" s="109"/>
      <c r="V780" s="30" t="s">
        <v>46</v>
      </c>
      <c r="W780" s="32" t="s">
        <v>46</v>
      </c>
      <c r="X780" s="106" t="s">
        <v>23</v>
      </c>
      <c r="Y780" s="106" t="s">
        <v>23</v>
      </c>
      <c r="Z780" s="106" t="s">
        <v>50</v>
      </c>
      <c r="AA780" s="109"/>
    </row>
    <row r="781" spans="2:27" s="105" customFormat="1" x14ac:dyDescent="0.25">
      <c r="B781" s="174"/>
      <c r="C781" s="174" t="str">
        <f>TEXT(data[[#This Row],[Fecha de Envío
Cotización]],"MMMM")</f>
        <v>junio</v>
      </c>
      <c r="D781" s="124">
        <v>44361</v>
      </c>
      <c r="E781" s="174" t="str">
        <f>IF(data[[#This Row],[Estatus de 
Cotización]]="PERDIDO","N/A","")</f>
        <v/>
      </c>
      <c r="F781" s="174"/>
      <c r="G781" s="109"/>
      <c r="H781" s="174"/>
      <c r="I781" s="86">
        <v>800734</v>
      </c>
      <c r="J781" s="106">
        <v>779</v>
      </c>
      <c r="K781" s="110" t="s">
        <v>283</v>
      </c>
      <c r="L781" s="106"/>
      <c r="M781" s="3" t="s">
        <v>2132</v>
      </c>
      <c r="N781" s="106">
        <v>5</v>
      </c>
      <c r="O781" s="107"/>
      <c r="P781" s="107">
        <v>139.74</v>
      </c>
      <c r="Q781" s="28">
        <f>data[[#This Row],[Costo Producto
Proveedor ($/Unid)]]*data[[#This Row],[Cantidad]]</f>
        <v>0</v>
      </c>
      <c r="R781" s="28">
        <f>data[[#This Row],[Cantidad]]*data[[#This Row],[Precio de Venta Cliente ($/Unid)]]</f>
        <v>698.7</v>
      </c>
      <c r="S781" s="29"/>
      <c r="T781" s="31" t="s">
        <v>36</v>
      </c>
      <c r="U781" s="109"/>
      <c r="V781" s="30" t="s">
        <v>46</v>
      </c>
      <c r="W781" s="32" t="s">
        <v>46</v>
      </c>
      <c r="X781" s="106" t="s">
        <v>503</v>
      </c>
      <c r="Y781" s="106" t="s">
        <v>503</v>
      </c>
      <c r="Z781" s="106" t="s">
        <v>50</v>
      </c>
      <c r="AA781" s="109"/>
    </row>
    <row r="782" spans="2:27" s="105" customFormat="1" x14ac:dyDescent="0.25">
      <c r="B782" s="174"/>
      <c r="C782" s="174" t="str">
        <f>TEXT(data[[#This Row],[Fecha de Envío
Cotización]],"MMMM")</f>
        <v>mayo</v>
      </c>
      <c r="D782" s="174">
        <v>44333</v>
      </c>
      <c r="E782" s="174" t="str">
        <f>IF(data[[#This Row],[Estatus de 
Cotización]]="PERDIDO","N/A","")</f>
        <v/>
      </c>
      <c r="F782" s="174"/>
      <c r="G782" s="109"/>
      <c r="H782" s="174"/>
      <c r="I782" s="86">
        <v>511510019</v>
      </c>
      <c r="J782" s="106">
        <v>1576</v>
      </c>
      <c r="K782" s="110" t="s">
        <v>1501</v>
      </c>
      <c r="L782" s="106"/>
      <c r="M782" s="108" t="s">
        <v>1484</v>
      </c>
      <c r="N782" s="106">
        <v>1</v>
      </c>
      <c r="O782" s="107"/>
      <c r="P782" s="107">
        <v>3117.63</v>
      </c>
      <c r="Q782" s="28">
        <f>data[[#This Row],[Costo Producto
Proveedor ($/Unid)]]*data[[#This Row],[Cantidad]]</f>
        <v>0</v>
      </c>
      <c r="R782" s="28">
        <f>data[[#This Row],[Cantidad]]*data[[#This Row],[Precio de Venta Cliente ($/Unid)]]</f>
        <v>3117.63</v>
      </c>
      <c r="S782" s="29"/>
      <c r="T782" s="109" t="s">
        <v>15</v>
      </c>
      <c r="U782" s="109"/>
      <c r="V782" s="30" t="s">
        <v>46</v>
      </c>
      <c r="W782" s="32" t="s">
        <v>46</v>
      </c>
      <c r="X782" s="106" t="s">
        <v>23</v>
      </c>
      <c r="Y782" s="106" t="s">
        <v>23</v>
      </c>
      <c r="Z782" s="106" t="s">
        <v>50</v>
      </c>
      <c r="AA782" s="109"/>
    </row>
    <row r="783" spans="2:27" s="105" customFormat="1" x14ac:dyDescent="0.25">
      <c r="B783" s="174"/>
      <c r="C783" s="174" t="str">
        <f>TEXT(data[[#This Row],[Fecha de Envío
Cotización]],"MMMM")</f>
        <v>mayo</v>
      </c>
      <c r="D783" s="174">
        <v>44333</v>
      </c>
      <c r="E783" s="174" t="str">
        <f>IF(data[[#This Row],[Estatus de 
Cotización]]="PERDIDO","N/A","")</f>
        <v/>
      </c>
      <c r="F783" s="174"/>
      <c r="G783" s="109"/>
      <c r="H783" s="174"/>
      <c r="I783" s="86">
        <v>511510020</v>
      </c>
      <c r="J783" s="106">
        <v>1576</v>
      </c>
      <c r="K783" s="110" t="s">
        <v>1501</v>
      </c>
      <c r="L783" s="106"/>
      <c r="M783" s="108" t="s">
        <v>1485</v>
      </c>
      <c r="N783" s="106">
        <v>1</v>
      </c>
      <c r="O783" s="107"/>
      <c r="P783" s="107">
        <v>4138.24</v>
      </c>
      <c r="Q783" s="28">
        <f>data[[#This Row],[Costo Producto
Proveedor ($/Unid)]]*data[[#This Row],[Cantidad]]</f>
        <v>0</v>
      </c>
      <c r="R783" s="28">
        <f>data[[#This Row],[Cantidad]]*data[[#This Row],[Precio de Venta Cliente ($/Unid)]]</f>
        <v>4138.24</v>
      </c>
      <c r="S783" s="29"/>
      <c r="T783" s="109" t="s">
        <v>15</v>
      </c>
      <c r="U783" s="109"/>
      <c r="V783" s="30" t="s">
        <v>46</v>
      </c>
      <c r="W783" s="32" t="s">
        <v>46</v>
      </c>
      <c r="X783" s="106" t="s">
        <v>23</v>
      </c>
      <c r="Y783" s="106" t="s">
        <v>23</v>
      </c>
      <c r="Z783" s="106" t="s">
        <v>50</v>
      </c>
      <c r="AA783" s="109"/>
    </row>
    <row r="784" spans="2:27" s="105" customFormat="1" x14ac:dyDescent="0.25">
      <c r="B784" s="174"/>
      <c r="C784" s="174" t="str">
        <f>TEXT(data[[#This Row],[Fecha de Envío
Cotización]],"MMMM")</f>
        <v>mayo</v>
      </c>
      <c r="D784" s="174">
        <v>44333</v>
      </c>
      <c r="E784" s="174" t="str">
        <f>IF(data[[#This Row],[Estatus de 
Cotización]]="PERDIDO","N/A","")</f>
        <v/>
      </c>
      <c r="F784" s="174"/>
      <c r="G784" s="109"/>
      <c r="H784" s="174"/>
      <c r="I784" s="86">
        <v>511510021</v>
      </c>
      <c r="J784" s="106">
        <v>1577</v>
      </c>
      <c r="K784" s="110" t="s">
        <v>33</v>
      </c>
      <c r="L784" s="106"/>
      <c r="M784" s="108" t="s">
        <v>1486</v>
      </c>
      <c r="N784" s="106">
        <v>2</v>
      </c>
      <c r="O784" s="107"/>
      <c r="P784" s="107">
        <v>2783.46</v>
      </c>
      <c r="Q784" s="28">
        <f>data[[#This Row],[Costo Producto
Proveedor ($/Unid)]]*data[[#This Row],[Cantidad]]</f>
        <v>0</v>
      </c>
      <c r="R784" s="28">
        <f>data[[#This Row],[Cantidad]]*data[[#This Row],[Precio de Venta Cliente ($/Unid)]]</f>
        <v>5566.92</v>
      </c>
      <c r="S784" s="29"/>
      <c r="T784" s="109" t="s">
        <v>134</v>
      </c>
      <c r="U784" s="109"/>
      <c r="V784" s="30" t="s">
        <v>46</v>
      </c>
      <c r="W784" s="32" t="s">
        <v>46</v>
      </c>
      <c r="X784" s="106" t="s">
        <v>23</v>
      </c>
      <c r="Y784" s="106" t="s">
        <v>23</v>
      </c>
      <c r="Z784" s="106" t="s">
        <v>50</v>
      </c>
      <c r="AA784" s="109"/>
    </row>
    <row r="785" spans="2:27" s="105" customFormat="1" x14ac:dyDescent="0.25">
      <c r="B785" s="104"/>
      <c r="C785" s="174" t="str">
        <f>TEXT(data[[#This Row],[Fecha de Envío
Cotización]],"MMMM")</f>
        <v>mayo</v>
      </c>
      <c r="D785" s="104">
        <v>44321</v>
      </c>
      <c r="E785" s="174" t="str">
        <f>IF(data[[#This Row],[Estatus de 
Cotización]]="PERDIDO","N/A","")</f>
        <v/>
      </c>
      <c r="F785" s="104"/>
      <c r="G785" s="109"/>
      <c r="H785" s="104"/>
      <c r="I785" s="86">
        <v>512088</v>
      </c>
      <c r="J785" s="89">
        <v>1542</v>
      </c>
      <c r="K785" s="24" t="s">
        <v>283</v>
      </c>
      <c r="L785" s="106"/>
      <c r="M785" s="108" t="s">
        <v>1249</v>
      </c>
      <c r="N785" s="106">
        <v>1</v>
      </c>
      <c r="O785" s="107"/>
      <c r="P785" s="107">
        <v>2136.4</v>
      </c>
      <c r="Q785" s="28">
        <f>data[[#This Row],[Costo Producto
Proveedor ($/Unid)]]*data[[#This Row],[Cantidad]]</f>
        <v>0</v>
      </c>
      <c r="R785" s="28">
        <f>data[[#This Row],[Cantidad]]*data[[#This Row],[Precio de Venta Cliente ($/Unid)]]</f>
        <v>2136.4</v>
      </c>
      <c r="S785" s="29"/>
      <c r="T785" s="106" t="s">
        <v>134</v>
      </c>
      <c r="U785" s="106"/>
      <c r="V785" s="30" t="s">
        <v>46</v>
      </c>
      <c r="W785" s="32" t="s">
        <v>46</v>
      </c>
      <c r="X785" s="106" t="s">
        <v>23</v>
      </c>
      <c r="Y785" s="106" t="s">
        <v>23</v>
      </c>
      <c r="Z785" s="106" t="s">
        <v>50</v>
      </c>
      <c r="AA785" s="106"/>
    </row>
    <row r="786" spans="2:27" s="105" customFormat="1" x14ac:dyDescent="0.25">
      <c r="B786" s="174"/>
      <c r="C786" s="174" t="str">
        <f>TEXT(data[[#This Row],[Fecha de Envío
Cotización]],"MMMM")</f>
        <v>junio</v>
      </c>
      <c r="D786" s="124">
        <v>44361</v>
      </c>
      <c r="E786" s="174" t="str">
        <f>IF(data[[#This Row],[Estatus de 
Cotización]]="PERDIDO","N/A","")</f>
        <v/>
      </c>
      <c r="F786" s="174"/>
      <c r="G786" s="109"/>
      <c r="H786" s="174"/>
      <c r="I786" s="86" t="s">
        <v>2128</v>
      </c>
      <c r="J786" s="106">
        <v>779</v>
      </c>
      <c r="K786" s="110" t="s">
        <v>283</v>
      </c>
      <c r="L786" s="106"/>
      <c r="M786" s="3" t="s">
        <v>2130</v>
      </c>
      <c r="N786" s="106">
        <v>5</v>
      </c>
      <c r="O786" s="107"/>
      <c r="P786" s="107">
        <v>130.86000000000001</v>
      </c>
      <c r="Q786" s="28">
        <f>data[[#This Row],[Costo Producto
Proveedor ($/Unid)]]*data[[#This Row],[Cantidad]]</f>
        <v>0</v>
      </c>
      <c r="R786" s="28">
        <f>data[[#This Row],[Cantidad]]*data[[#This Row],[Precio de Venta Cliente ($/Unid)]]</f>
        <v>654.30000000000007</v>
      </c>
      <c r="S786" s="29"/>
      <c r="T786" s="31" t="s">
        <v>36</v>
      </c>
      <c r="U786" s="109"/>
      <c r="V786" s="30" t="s">
        <v>46</v>
      </c>
      <c r="W786" s="32" t="s">
        <v>46</v>
      </c>
      <c r="X786" s="106" t="s">
        <v>503</v>
      </c>
      <c r="Y786" s="106" t="s">
        <v>503</v>
      </c>
      <c r="Z786" s="106" t="s">
        <v>50</v>
      </c>
      <c r="AA786" s="109"/>
    </row>
    <row r="787" spans="2:27" s="105" customFormat="1" x14ac:dyDescent="0.25">
      <c r="B787" s="104"/>
      <c r="C787" s="174" t="str">
        <f>TEXT(data[[#This Row],[Fecha de Envío
Cotización]],"MMMM")</f>
        <v>mayo</v>
      </c>
      <c r="D787" s="104">
        <v>44333</v>
      </c>
      <c r="E787" s="174" t="str">
        <f>IF(data[[#This Row],[Estatus de 
Cotización]]="PERDIDO","N/A","")</f>
        <v/>
      </c>
      <c r="F787" s="104"/>
      <c r="G787" s="109"/>
      <c r="H787" s="104"/>
      <c r="I787" s="86">
        <v>511510022</v>
      </c>
      <c r="J787" s="106">
        <v>1578</v>
      </c>
      <c r="K787" s="110" t="s">
        <v>283</v>
      </c>
      <c r="L787" s="106"/>
      <c r="M787" s="108" t="s">
        <v>1487</v>
      </c>
      <c r="N787" s="106">
        <v>1</v>
      </c>
      <c r="O787" s="107"/>
      <c r="P787" s="107">
        <v>2219.23</v>
      </c>
      <c r="Q787" s="28">
        <f>data[[#This Row],[Costo Producto
Proveedor ($/Unid)]]*data[[#This Row],[Cantidad]]</f>
        <v>0</v>
      </c>
      <c r="R787" s="28">
        <f>data[[#This Row],[Cantidad]]*data[[#This Row],[Precio de Venta Cliente ($/Unid)]]</f>
        <v>2219.23</v>
      </c>
      <c r="S787" s="29"/>
      <c r="T787" s="109" t="s">
        <v>134</v>
      </c>
      <c r="U787" s="109"/>
      <c r="V787" s="30" t="s">
        <v>46</v>
      </c>
      <c r="W787" s="32" t="s">
        <v>46</v>
      </c>
      <c r="X787" s="106" t="s">
        <v>23</v>
      </c>
      <c r="Y787" s="106" t="s">
        <v>23</v>
      </c>
      <c r="Z787" s="106" t="s">
        <v>50</v>
      </c>
      <c r="AA787" s="109"/>
    </row>
    <row r="788" spans="2:27" s="105" customFormat="1" x14ac:dyDescent="0.25">
      <c r="B788" s="104"/>
      <c r="C788" s="174" t="str">
        <f>TEXT(data[[#This Row],[Fecha de Envío
Cotización]],"MMMM")</f>
        <v>mayo</v>
      </c>
      <c r="D788" s="104">
        <v>44333</v>
      </c>
      <c r="E788" s="174" t="str">
        <f>IF(data[[#This Row],[Estatus de 
Cotización]]="PERDIDO","N/A","")</f>
        <v/>
      </c>
      <c r="F788" s="104"/>
      <c r="G788" s="109"/>
      <c r="H788" s="104"/>
      <c r="I788" s="86">
        <v>511510025</v>
      </c>
      <c r="J788" s="106">
        <v>1579</v>
      </c>
      <c r="K788" s="110" t="s">
        <v>33</v>
      </c>
      <c r="L788" s="106"/>
      <c r="M788" s="108" t="s">
        <v>1490</v>
      </c>
      <c r="N788" s="106">
        <v>6</v>
      </c>
      <c r="O788" s="107"/>
      <c r="P788" s="107">
        <v>209.7</v>
      </c>
      <c r="Q788" s="28">
        <f>data[[#This Row],[Costo Producto
Proveedor ($/Unid)]]*data[[#This Row],[Cantidad]]</f>
        <v>0</v>
      </c>
      <c r="R788" s="28">
        <f>data[[#This Row],[Cantidad]]*data[[#This Row],[Precio de Venta Cliente ($/Unid)]]</f>
        <v>1258.1999999999998</v>
      </c>
      <c r="S788" s="29"/>
      <c r="T788" s="109" t="s">
        <v>134</v>
      </c>
      <c r="U788" s="109"/>
      <c r="V788" s="30" t="s">
        <v>46</v>
      </c>
      <c r="W788" s="32" t="s">
        <v>46</v>
      </c>
      <c r="X788" s="106" t="s">
        <v>23</v>
      </c>
      <c r="Y788" s="106" t="s">
        <v>23</v>
      </c>
      <c r="Z788" s="106" t="s">
        <v>50</v>
      </c>
      <c r="AA788" s="109"/>
    </row>
    <row r="789" spans="2:27" s="105" customFormat="1" x14ac:dyDescent="0.25">
      <c r="B789" s="104"/>
      <c r="C789" s="174" t="str">
        <f>TEXT(data[[#This Row],[Fecha de Envío
Cotización]],"MMMM")</f>
        <v>mayo</v>
      </c>
      <c r="D789" s="174">
        <v>44333</v>
      </c>
      <c r="E789" s="174" t="str">
        <f>IF(data[[#This Row],[Estatus de 
Cotización]]="PERDIDO","N/A","")</f>
        <v/>
      </c>
      <c r="F789" s="104"/>
      <c r="G789" s="109"/>
      <c r="H789" s="104"/>
      <c r="I789" s="86">
        <v>511510026</v>
      </c>
      <c r="J789" s="106">
        <v>1579</v>
      </c>
      <c r="K789" s="110" t="s">
        <v>33</v>
      </c>
      <c r="L789" s="106"/>
      <c r="M789" s="108" t="s">
        <v>1491</v>
      </c>
      <c r="N789" s="106">
        <v>2</v>
      </c>
      <c r="O789" s="107"/>
      <c r="P789" s="107">
        <v>80.209999999999994</v>
      </c>
      <c r="Q789" s="28">
        <f>data[[#This Row],[Costo Producto
Proveedor ($/Unid)]]*data[[#This Row],[Cantidad]]</f>
        <v>0</v>
      </c>
      <c r="R789" s="28">
        <f>data[[#This Row],[Cantidad]]*data[[#This Row],[Precio de Venta Cliente ($/Unid)]]</f>
        <v>160.41999999999999</v>
      </c>
      <c r="S789" s="29"/>
      <c r="T789" s="109" t="s">
        <v>134</v>
      </c>
      <c r="U789" s="109"/>
      <c r="V789" s="30" t="s">
        <v>46</v>
      </c>
      <c r="W789" s="32" t="s">
        <v>46</v>
      </c>
      <c r="X789" s="106" t="s">
        <v>23</v>
      </c>
      <c r="Y789" s="106" t="s">
        <v>23</v>
      </c>
      <c r="Z789" s="106" t="s">
        <v>50</v>
      </c>
      <c r="AA789" s="109"/>
    </row>
    <row r="790" spans="2:27" s="105" customFormat="1" x14ac:dyDescent="0.25">
      <c r="B790" s="104"/>
      <c r="C790" s="174" t="str">
        <f>TEXT(data[[#This Row],[Fecha de Envío
Cotización]],"MMMM")</f>
        <v>mayo</v>
      </c>
      <c r="D790" s="174">
        <v>44333</v>
      </c>
      <c r="E790" s="174" t="str">
        <f>IF(data[[#This Row],[Estatus de 
Cotización]]="PERDIDO","N/A","")</f>
        <v/>
      </c>
      <c r="F790" s="104"/>
      <c r="G790" s="109"/>
      <c r="H790" s="104"/>
      <c r="I790" s="86">
        <v>511510027</v>
      </c>
      <c r="J790" s="106">
        <v>1579</v>
      </c>
      <c r="K790" s="110" t="s">
        <v>33</v>
      </c>
      <c r="L790" s="106"/>
      <c r="M790" s="108" t="s">
        <v>1492</v>
      </c>
      <c r="N790" s="106">
        <v>2</v>
      </c>
      <c r="O790" s="107"/>
      <c r="P790" s="107">
        <v>171.79</v>
      </c>
      <c r="Q790" s="28">
        <f>data[[#This Row],[Costo Producto
Proveedor ($/Unid)]]*data[[#This Row],[Cantidad]]</f>
        <v>0</v>
      </c>
      <c r="R790" s="28">
        <f>data[[#This Row],[Cantidad]]*data[[#This Row],[Precio de Venta Cliente ($/Unid)]]</f>
        <v>343.58</v>
      </c>
      <c r="S790" s="29"/>
      <c r="T790" s="109" t="s">
        <v>134</v>
      </c>
      <c r="U790" s="109"/>
      <c r="V790" s="30" t="s">
        <v>46</v>
      </c>
      <c r="W790" s="32" t="s">
        <v>46</v>
      </c>
      <c r="X790" s="106" t="s">
        <v>23</v>
      </c>
      <c r="Y790" s="106" t="s">
        <v>23</v>
      </c>
      <c r="Z790" s="106" t="s">
        <v>50</v>
      </c>
      <c r="AA790" s="109"/>
    </row>
    <row r="791" spans="2:27" s="105" customFormat="1" x14ac:dyDescent="0.25">
      <c r="B791" s="104"/>
      <c r="C791" s="174" t="str">
        <f>TEXT(data[[#This Row],[Fecha de Envío
Cotización]],"MMMM")</f>
        <v>mayo</v>
      </c>
      <c r="D791" s="174">
        <v>44333</v>
      </c>
      <c r="E791" s="174" t="str">
        <f>IF(data[[#This Row],[Estatus de 
Cotización]]="PERDIDO","N/A","")</f>
        <v/>
      </c>
      <c r="F791" s="104"/>
      <c r="G791" s="109"/>
      <c r="H791" s="104"/>
      <c r="I791" s="86">
        <v>511510028</v>
      </c>
      <c r="J791" s="106">
        <v>1579</v>
      </c>
      <c r="K791" s="110" t="s">
        <v>33</v>
      </c>
      <c r="L791" s="106"/>
      <c r="M791" s="108" t="s">
        <v>1493</v>
      </c>
      <c r="N791" s="106">
        <v>2</v>
      </c>
      <c r="O791" s="107"/>
      <c r="P791" s="107">
        <v>302.35000000000002</v>
      </c>
      <c r="Q791" s="28">
        <f>data[[#This Row],[Costo Producto
Proveedor ($/Unid)]]*data[[#This Row],[Cantidad]]</f>
        <v>0</v>
      </c>
      <c r="R791" s="28">
        <f>data[[#This Row],[Cantidad]]*data[[#This Row],[Precio de Venta Cliente ($/Unid)]]</f>
        <v>604.70000000000005</v>
      </c>
      <c r="S791" s="29"/>
      <c r="T791" s="109" t="s">
        <v>134</v>
      </c>
      <c r="U791" s="109"/>
      <c r="V791" s="30" t="s">
        <v>46</v>
      </c>
      <c r="W791" s="32" t="s">
        <v>46</v>
      </c>
      <c r="X791" s="106" t="s">
        <v>23</v>
      </c>
      <c r="Y791" s="106" t="s">
        <v>23</v>
      </c>
      <c r="Z791" s="106" t="s">
        <v>50</v>
      </c>
      <c r="AA791" s="109"/>
    </row>
    <row r="792" spans="2:27" s="105" customFormat="1" ht="15.75" x14ac:dyDescent="0.25">
      <c r="B792" s="104"/>
      <c r="C792" s="174" t="str">
        <f>TEXT(data[[#This Row],[Fecha de Envío
Cotización]],"MMMM")</f>
        <v>junio</v>
      </c>
      <c r="D792" s="174">
        <v>44375</v>
      </c>
      <c r="E792" s="174"/>
      <c r="F792" s="104"/>
      <c r="G792" s="109"/>
      <c r="H792" s="104"/>
      <c r="I792" s="86" t="s">
        <v>2481</v>
      </c>
      <c r="J792" s="87">
        <v>869</v>
      </c>
      <c r="K792" s="24" t="s">
        <v>283</v>
      </c>
      <c r="L792" s="106"/>
      <c r="M792" s="105" t="s">
        <v>2482</v>
      </c>
      <c r="N792" s="106">
        <v>1</v>
      </c>
      <c r="O792" s="107"/>
      <c r="P792" s="27">
        <v>9352</v>
      </c>
      <c r="Q792" s="28">
        <f>data[[#This Row],[Costo Producto
Proveedor ($/Unid)]]*data[[#This Row],[Cantidad]]</f>
        <v>0</v>
      </c>
      <c r="R792" s="28">
        <f>data[[#This Row],[Cantidad]]*data[[#This Row],[Precio de Venta Cliente ($/Unid)]]</f>
        <v>9352</v>
      </c>
      <c r="S792" s="29"/>
      <c r="T792" s="106" t="s">
        <v>2480</v>
      </c>
      <c r="U792" s="106"/>
      <c r="V792" s="30" t="s">
        <v>46</v>
      </c>
      <c r="W792" s="174" t="s">
        <v>46</v>
      </c>
      <c r="X792" s="106" t="s">
        <v>503</v>
      </c>
      <c r="Y792" s="106" t="s">
        <v>503</v>
      </c>
      <c r="Z792" s="106" t="s">
        <v>50</v>
      </c>
      <c r="AA792" s="5"/>
    </row>
    <row r="793" spans="2:27" s="105" customFormat="1" x14ac:dyDescent="0.25">
      <c r="B793" s="104"/>
      <c r="C793" s="174" t="str">
        <f>TEXT(data[[#This Row],[Fecha de Envío
Cotización]],"MMMM")</f>
        <v>mayo</v>
      </c>
      <c r="D793" s="124">
        <v>44336</v>
      </c>
      <c r="E793" s="174" t="str">
        <f>IF(data[[#This Row],[Estatus de 
Cotización]]="PERDIDO","N/A","")</f>
        <v/>
      </c>
      <c r="F793" s="104"/>
      <c r="G793" s="109"/>
      <c r="H793" s="104"/>
      <c r="I793" s="86">
        <v>9611922206</v>
      </c>
      <c r="J793" s="106">
        <v>535</v>
      </c>
      <c r="K793" s="110" t="s">
        <v>283</v>
      </c>
      <c r="L793" s="106"/>
      <c r="M793" s="108" t="s">
        <v>1606</v>
      </c>
      <c r="N793" s="106">
        <v>5</v>
      </c>
      <c r="O793" s="107"/>
      <c r="P793" s="107">
        <v>991.71</v>
      </c>
      <c r="Q793" s="28">
        <f>data[[#This Row],[Costo Producto
Proveedor ($/Unid)]]*data[[#This Row],[Cantidad]]</f>
        <v>0</v>
      </c>
      <c r="R793" s="28">
        <f>data[[#This Row],[Cantidad]]*data[[#This Row],[Precio de Venta Cliente ($/Unid)]]</f>
        <v>4958.55</v>
      </c>
      <c r="S793" s="29"/>
      <c r="T793" s="109" t="s">
        <v>36</v>
      </c>
      <c r="U793" s="109"/>
      <c r="V793" s="30" t="s">
        <v>46</v>
      </c>
      <c r="W793" s="32" t="s">
        <v>46</v>
      </c>
      <c r="X793" s="106" t="s">
        <v>23</v>
      </c>
      <c r="Y793" s="106" t="s">
        <v>23</v>
      </c>
      <c r="Z793" s="106" t="s">
        <v>50</v>
      </c>
      <c r="AA793" s="109"/>
    </row>
    <row r="794" spans="2:27" s="105" customFormat="1" x14ac:dyDescent="0.25">
      <c r="B794" s="104"/>
      <c r="C794" s="174" t="str">
        <f>TEXT(data[[#This Row],[Fecha de Envío
Cotización]],"MMMM")</f>
        <v>mayo</v>
      </c>
      <c r="D794" s="174">
        <v>44333</v>
      </c>
      <c r="E794" s="174" t="s">
        <v>473</v>
      </c>
      <c r="F794" s="104" t="s">
        <v>473</v>
      </c>
      <c r="G794" s="109"/>
      <c r="H794" s="104" t="s">
        <v>473</v>
      </c>
      <c r="I794" s="86">
        <v>511510031</v>
      </c>
      <c r="J794" s="106">
        <v>1581</v>
      </c>
      <c r="K794" s="110" t="s">
        <v>283</v>
      </c>
      <c r="L794" s="106"/>
      <c r="M794" s="108" t="s">
        <v>1496</v>
      </c>
      <c r="N794" s="106">
        <v>1</v>
      </c>
      <c r="O794" s="107"/>
      <c r="P794" s="107">
        <v>6363.49</v>
      </c>
      <c r="Q794" s="28">
        <f>data[[#This Row],[Costo Producto
Proveedor ($/Unid)]]*data[[#This Row],[Cantidad]]</f>
        <v>0</v>
      </c>
      <c r="R794" s="28">
        <f>data[[#This Row],[Cantidad]]*data[[#This Row],[Precio de Venta Cliente ($/Unid)]]</f>
        <v>6363.49</v>
      </c>
      <c r="S794" s="29"/>
      <c r="T794" s="109" t="s">
        <v>51</v>
      </c>
      <c r="U794" s="109"/>
      <c r="V794" s="30" t="s">
        <v>473</v>
      </c>
      <c r="W794" s="32" t="s">
        <v>473</v>
      </c>
      <c r="X794" s="106" t="s">
        <v>473</v>
      </c>
      <c r="Y794" s="106" t="s">
        <v>473</v>
      </c>
      <c r="Z794" s="106" t="s">
        <v>50</v>
      </c>
      <c r="AA794" s="109"/>
    </row>
    <row r="795" spans="2:27" s="105" customFormat="1" x14ac:dyDescent="0.25">
      <c r="B795" s="104"/>
      <c r="C795" s="174" t="str">
        <f>TEXT(data[[#This Row],[Fecha de Envío
Cotización]],"MMMM")</f>
        <v>mayo</v>
      </c>
      <c r="D795" s="174">
        <v>44333</v>
      </c>
      <c r="E795" s="174" t="str">
        <f>IF(data[[#This Row],[Estatus de 
Cotización]]="PERDIDO","N/A","")</f>
        <v/>
      </c>
      <c r="F795" s="104"/>
      <c r="G795" s="109"/>
      <c r="H795" s="104"/>
      <c r="I795" s="86">
        <v>511510032</v>
      </c>
      <c r="J795" s="106">
        <v>1582</v>
      </c>
      <c r="K795" s="110" t="s">
        <v>33</v>
      </c>
      <c r="L795" s="106"/>
      <c r="M795" s="108" t="s">
        <v>1497</v>
      </c>
      <c r="N795" s="106">
        <v>30</v>
      </c>
      <c r="O795" s="107"/>
      <c r="P795" s="107">
        <v>56.58</v>
      </c>
      <c r="Q795" s="28">
        <f>data[[#This Row],[Costo Producto
Proveedor ($/Unid)]]*data[[#This Row],[Cantidad]]</f>
        <v>0</v>
      </c>
      <c r="R795" s="28">
        <f>data[[#This Row],[Cantidad]]*data[[#This Row],[Precio de Venta Cliente ($/Unid)]]</f>
        <v>1697.3999999999999</v>
      </c>
      <c r="S795" s="29"/>
      <c r="T795" s="109" t="s">
        <v>51</v>
      </c>
      <c r="U795" s="109"/>
      <c r="V795" s="30" t="s">
        <v>46</v>
      </c>
      <c r="W795" s="32" t="s">
        <v>46</v>
      </c>
      <c r="X795" s="106" t="s">
        <v>23</v>
      </c>
      <c r="Y795" s="106" t="s">
        <v>23</v>
      </c>
      <c r="Z795" s="106" t="s">
        <v>50</v>
      </c>
      <c r="AA795" s="109"/>
    </row>
    <row r="796" spans="2:27" s="105" customFormat="1" x14ac:dyDescent="0.25">
      <c r="B796" s="104"/>
      <c r="C796" s="174" t="str">
        <f>TEXT(data[[#This Row],[Fecha de Envío
Cotización]],"MMMM")</f>
        <v>mayo</v>
      </c>
      <c r="D796" s="174">
        <v>44333</v>
      </c>
      <c r="E796" s="174" t="str">
        <f>IF(data[[#This Row],[Estatus de 
Cotización]]="PERDIDO","N/A","")</f>
        <v/>
      </c>
      <c r="F796" s="104"/>
      <c r="G796" s="109"/>
      <c r="H796" s="104"/>
      <c r="I796" s="86">
        <v>511510033</v>
      </c>
      <c r="J796" s="106">
        <v>1583</v>
      </c>
      <c r="K796" s="110" t="s">
        <v>33</v>
      </c>
      <c r="L796" s="106"/>
      <c r="M796" s="108" t="s">
        <v>1498</v>
      </c>
      <c r="N796" s="106">
        <v>2</v>
      </c>
      <c r="O796" s="107"/>
      <c r="P796" s="107">
        <v>85.32</v>
      </c>
      <c r="Q796" s="28">
        <f>data[[#This Row],[Costo Producto
Proveedor ($/Unid)]]*data[[#This Row],[Cantidad]]</f>
        <v>0</v>
      </c>
      <c r="R796" s="28">
        <f>data[[#This Row],[Cantidad]]*data[[#This Row],[Precio de Venta Cliente ($/Unid)]]</f>
        <v>170.64</v>
      </c>
      <c r="S796" s="29"/>
      <c r="T796" s="109" t="s">
        <v>51</v>
      </c>
      <c r="U796" s="109"/>
      <c r="V796" s="30" t="s">
        <v>46</v>
      </c>
      <c r="W796" s="32" t="s">
        <v>46</v>
      </c>
      <c r="X796" s="106" t="s">
        <v>23</v>
      </c>
      <c r="Y796" s="106" t="s">
        <v>23</v>
      </c>
      <c r="Z796" s="106" t="s">
        <v>50</v>
      </c>
      <c r="AA796" s="109"/>
    </row>
    <row r="797" spans="2:27" s="105" customFormat="1" x14ac:dyDescent="0.25">
      <c r="B797" s="174"/>
      <c r="C797" s="174" t="str">
        <f>TEXT(data[[#This Row],[Fecha de Envío
Cotización]],"MMMM")</f>
        <v>mayo</v>
      </c>
      <c r="D797" s="124">
        <v>44333</v>
      </c>
      <c r="E797" s="174" t="str">
        <f>IF(data[[#This Row],[Estatus de 
Cotización]]="PERDIDO","N/A","")</f>
        <v/>
      </c>
      <c r="F797" s="174"/>
      <c r="G797" s="109"/>
      <c r="H797" s="174"/>
      <c r="I797" s="86">
        <v>511510034</v>
      </c>
      <c r="J797" s="106">
        <v>1583</v>
      </c>
      <c r="K797" s="110" t="s">
        <v>33</v>
      </c>
      <c r="L797" s="106"/>
      <c r="M797" s="108" t="s">
        <v>1499</v>
      </c>
      <c r="N797" s="106">
        <v>4</v>
      </c>
      <c r="O797" s="107"/>
      <c r="P797" s="107">
        <v>157.77000000000001</v>
      </c>
      <c r="Q797" s="28">
        <f>data[[#This Row],[Costo Producto
Proveedor ($/Unid)]]*data[[#This Row],[Cantidad]]</f>
        <v>0</v>
      </c>
      <c r="R797" s="28">
        <f>data[[#This Row],[Cantidad]]*data[[#This Row],[Precio de Venta Cliente ($/Unid)]]</f>
        <v>631.08000000000004</v>
      </c>
      <c r="S797" s="29"/>
      <c r="T797" s="109" t="s">
        <v>51</v>
      </c>
      <c r="U797" s="109"/>
      <c r="V797" s="30" t="s">
        <v>46</v>
      </c>
      <c r="W797" s="32" t="s">
        <v>46</v>
      </c>
      <c r="X797" s="106" t="s">
        <v>23</v>
      </c>
      <c r="Y797" s="106" t="s">
        <v>23</v>
      </c>
      <c r="Z797" s="106" t="s">
        <v>50</v>
      </c>
      <c r="AA797" s="109"/>
    </row>
    <row r="798" spans="2:27" s="105" customFormat="1" x14ac:dyDescent="0.25">
      <c r="B798" s="104"/>
      <c r="C798" s="174" t="str">
        <f>TEXT(data[[#This Row],[Fecha de Envío
Cotización]],"MMMM")</f>
        <v>mayo</v>
      </c>
      <c r="D798" s="124">
        <v>44333</v>
      </c>
      <c r="E798" s="174" t="str">
        <f>IF(data[[#This Row],[Estatus de 
Cotización]]="PERDIDO","N/A","")</f>
        <v/>
      </c>
      <c r="F798" s="104"/>
      <c r="G798" s="109"/>
      <c r="H798" s="104"/>
      <c r="I798" s="86">
        <v>25533</v>
      </c>
      <c r="J798" s="106">
        <v>487</v>
      </c>
      <c r="K798" s="110" t="s">
        <v>1066</v>
      </c>
      <c r="L798" s="106"/>
      <c r="M798" s="105" t="s">
        <v>1522</v>
      </c>
      <c r="N798" s="106">
        <v>1</v>
      </c>
      <c r="O798" s="107"/>
      <c r="P798" s="107">
        <v>375.78</v>
      </c>
      <c r="Q798" s="28">
        <f>data[[#This Row],[Costo Producto
Proveedor ($/Unid)]]*data[[#This Row],[Cantidad]]</f>
        <v>0</v>
      </c>
      <c r="R798" s="28">
        <f>data[[#This Row],[Cantidad]]*data[[#This Row],[Precio de Venta Cliente ($/Unid)]]</f>
        <v>375.78</v>
      </c>
      <c r="S798" s="29"/>
      <c r="T798" s="109" t="s">
        <v>36</v>
      </c>
      <c r="U798" s="109"/>
      <c r="V798" s="30" t="s">
        <v>46</v>
      </c>
      <c r="W798" s="32" t="s">
        <v>46</v>
      </c>
      <c r="X798" s="106" t="s">
        <v>23</v>
      </c>
      <c r="Y798" s="106" t="s">
        <v>23</v>
      </c>
      <c r="Z798" s="106" t="s">
        <v>50</v>
      </c>
      <c r="AA798" s="109"/>
    </row>
    <row r="799" spans="2:27" s="105" customFormat="1" x14ac:dyDescent="0.25">
      <c r="B799" s="104"/>
      <c r="C799" s="174" t="str">
        <f>TEXT(data[[#This Row],[Fecha de Envío
Cotización]],"MMMM")</f>
        <v>mayo</v>
      </c>
      <c r="D799" s="124">
        <v>44333</v>
      </c>
      <c r="E799" s="174" t="str">
        <f>IF(data[[#This Row],[Estatus de 
Cotización]]="PERDIDO","N/A","")</f>
        <v/>
      </c>
      <c r="F799" s="104"/>
      <c r="G799" s="109"/>
      <c r="H799" s="104"/>
      <c r="I799" s="86">
        <v>25881</v>
      </c>
      <c r="J799" s="106">
        <v>487</v>
      </c>
      <c r="K799" s="110" t="s">
        <v>1066</v>
      </c>
      <c r="L799" s="106"/>
      <c r="M799" s="108" t="s">
        <v>1523</v>
      </c>
      <c r="N799" s="106">
        <v>10</v>
      </c>
      <c r="O799" s="107"/>
      <c r="P799" s="107">
        <v>255.48</v>
      </c>
      <c r="Q799" s="28">
        <f>data[[#This Row],[Costo Producto
Proveedor ($/Unid)]]*data[[#This Row],[Cantidad]]</f>
        <v>0</v>
      </c>
      <c r="R799" s="28">
        <f>data[[#This Row],[Cantidad]]*data[[#This Row],[Precio de Venta Cliente ($/Unid)]]</f>
        <v>2554.7999999999997</v>
      </c>
      <c r="S799" s="29"/>
      <c r="T799" s="109" t="s">
        <v>36</v>
      </c>
      <c r="U799" s="109"/>
      <c r="V799" s="30" t="s">
        <v>46</v>
      </c>
      <c r="W799" s="32" t="s">
        <v>46</v>
      </c>
      <c r="X799" s="106" t="s">
        <v>23</v>
      </c>
      <c r="Y799" s="106" t="s">
        <v>23</v>
      </c>
      <c r="Z799" s="106" t="s">
        <v>50</v>
      </c>
      <c r="AA799" s="109"/>
    </row>
    <row r="800" spans="2:27" s="105" customFormat="1" x14ac:dyDescent="0.25">
      <c r="B800" s="104"/>
      <c r="C800" s="174" t="str">
        <f>TEXT(data[[#This Row],[Fecha de Envío
Cotización]],"MMMM")</f>
        <v>mayo</v>
      </c>
      <c r="D800" s="124">
        <v>44333</v>
      </c>
      <c r="E800" s="174" t="str">
        <f>IF(data[[#This Row],[Estatus de 
Cotización]]="PERDIDO","N/A","")</f>
        <v/>
      </c>
      <c r="F800" s="104"/>
      <c r="G800" s="109"/>
      <c r="H800" s="104"/>
      <c r="I800" s="86" t="s">
        <v>1538</v>
      </c>
      <c r="J800" s="106">
        <v>487</v>
      </c>
      <c r="K800" s="110" t="s">
        <v>1066</v>
      </c>
      <c r="L800" s="106"/>
      <c r="M800" s="108" t="s">
        <v>1524</v>
      </c>
      <c r="N800" s="106">
        <v>10</v>
      </c>
      <c r="O800" s="107"/>
      <c r="P800" s="107">
        <v>69.11</v>
      </c>
      <c r="Q800" s="28">
        <f>data[[#This Row],[Costo Producto
Proveedor ($/Unid)]]*data[[#This Row],[Cantidad]]</f>
        <v>0</v>
      </c>
      <c r="R800" s="28">
        <f>data[[#This Row],[Cantidad]]*data[[#This Row],[Precio de Venta Cliente ($/Unid)]]</f>
        <v>691.1</v>
      </c>
      <c r="S800" s="29"/>
      <c r="T800" s="109" t="s">
        <v>36</v>
      </c>
      <c r="U800" s="109"/>
      <c r="V800" s="30" t="s">
        <v>46</v>
      </c>
      <c r="W800" s="32" t="s">
        <v>46</v>
      </c>
      <c r="X800" s="106" t="s">
        <v>23</v>
      </c>
      <c r="Y800" s="106" t="s">
        <v>23</v>
      </c>
      <c r="Z800" s="106" t="s">
        <v>50</v>
      </c>
      <c r="AA800" s="109"/>
    </row>
    <row r="801" spans="2:27" s="105" customFormat="1" x14ac:dyDescent="0.25">
      <c r="B801" s="104"/>
      <c r="C801" s="174" t="str">
        <f>TEXT(data[[#This Row],[Fecha de Envío
Cotización]],"MMMM")</f>
        <v>mayo</v>
      </c>
      <c r="D801" s="124">
        <v>44333</v>
      </c>
      <c r="E801" s="174" t="str">
        <f>IF(data[[#This Row],[Estatus de 
Cotización]]="PERDIDO","N/A","")</f>
        <v/>
      </c>
      <c r="F801" s="104"/>
      <c r="G801" s="109"/>
      <c r="H801" s="104"/>
      <c r="I801" s="86">
        <v>25950</v>
      </c>
      <c r="J801" s="106">
        <v>487</v>
      </c>
      <c r="K801" s="110" t="s">
        <v>1066</v>
      </c>
      <c r="L801" s="106"/>
      <c r="M801" s="108" t="s">
        <v>1525</v>
      </c>
      <c r="N801" s="106">
        <v>3</v>
      </c>
      <c r="O801" s="107"/>
      <c r="P801" s="107">
        <v>213.22</v>
      </c>
      <c r="Q801" s="28">
        <f>data[[#This Row],[Costo Producto
Proveedor ($/Unid)]]*data[[#This Row],[Cantidad]]</f>
        <v>0</v>
      </c>
      <c r="R801" s="28">
        <f>data[[#This Row],[Cantidad]]*data[[#This Row],[Precio de Venta Cliente ($/Unid)]]</f>
        <v>639.66</v>
      </c>
      <c r="S801" s="29"/>
      <c r="T801" s="109" t="s">
        <v>36</v>
      </c>
      <c r="U801" s="109"/>
      <c r="V801" s="30" t="s">
        <v>46</v>
      </c>
      <c r="W801" s="32" t="s">
        <v>46</v>
      </c>
      <c r="X801" s="106" t="s">
        <v>23</v>
      </c>
      <c r="Y801" s="106" t="s">
        <v>23</v>
      </c>
      <c r="Z801" s="106" t="s">
        <v>50</v>
      </c>
      <c r="AA801" s="109"/>
    </row>
    <row r="802" spans="2:27" s="105" customFormat="1" x14ac:dyDescent="0.25">
      <c r="B802" s="104"/>
      <c r="C802" s="174" t="str">
        <f>TEXT(data[[#This Row],[Fecha de Envío
Cotización]],"MMMM")</f>
        <v>mayo</v>
      </c>
      <c r="D802" s="124">
        <v>44333</v>
      </c>
      <c r="E802" s="174" t="str">
        <f>IF(data[[#This Row],[Estatus de 
Cotización]]="PERDIDO","N/A","")</f>
        <v/>
      </c>
      <c r="F802" s="104"/>
      <c r="G802" s="109"/>
      <c r="H802" s="104"/>
      <c r="I802" s="86" t="s">
        <v>1539</v>
      </c>
      <c r="J802" s="106">
        <v>487</v>
      </c>
      <c r="K802" s="110" t="s">
        <v>1066</v>
      </c>
      <c r="L802" s="106"/>
      <c r="M802" s="108" t="s">
        <v>1526</v>
      </c>
      <c r="N802" s="106">
        <v>3</v>
      </c>
      <c r="O802" s="107"/>
      <c r="P802" s="107">
        <v>46.67</v>
      </c>
      <c r="Q802" s="28">
        <f>data[[#This Row],[Costo Producto
Proveedor ($/Unid)]]*data[[#This Row],[Cantidad]]</f>
        <v>0</v>
      </c>
      <c r="R802" s="28">
        <f>data[[#This Row],[Cantidad]]*data[[#This Row],[Precio de Venta Cliente ($/Unid)]]</f>
        <v>140.01</v>
      </c>
      <c r="S802" s="29"/>
      <c r="T802" s="109" t="s">
        <v>36</v>
      </c>
      <c r="U802" s="109"/>
      <c r="V802" s="30" t="s">
        <v>46</v>
      </c>
      <c r="W802" s="32" t="s">
        <v>46</v>
      </c>
      <c r="X802" s="106" t="s">
        <v>23</v>
      </c>
      <c r="Y802" s="106" t="s">
        <v>23</v>
      </c>
      <c r="Z802" s="106" t="s">
        <v>50</v>
      </c>
      <c r="AA802" s="109"/>
    </row>
    <row r="803" spans="2:27" s="105" customFormat="1" x14ac:dyDescent="0.25">
      <c r="B803" s="174"/>
      <c r="C803" s="174" t="str">
        <f>TEXT(data[[#This Row],[Fecha de Envío
Cotización]],"MMMM")</f>
        <v>mayo</v>
      </c>
      <c r="D803" s="124">
        <v>44333</v>
      </c>
      <c r="E803" s="174" t="str">
        <f>IF(data[[#This Row],[Estatus de 
Cotización]]="PERDIDO","N/A","")</f>
        <v/>
      </c>
      <c r="F803" s="174"/>
      <c r="G803" s="109"/>
      <c r="H803" s="174"/>
      <c r="I803" s="86">
        <v>26048</v>
      </c>
      <c r="J803" s="106">
        <v>487</v>
      </c>
      <c r="K803" s="110" t="s">
        <v>1066</v>
      </c>
      <c r="L803" s="106"/>
      <c r="M803" s="108" t="s">
        <v>1527</v>
      </c>
      <c r="N803" s="106">
        <v>1</v>
      </c>
      <c r="O803" s="107"/>
      <c r="P803" s="107">
        <v>1779.47</v>
      </c>
      <c r="Q803" s="28">
        <f>data[[#This Row],[Costo Producto
Proveedor ($/Unid)]]*data[[#This Row],[Cantidad]]</f>
        <v>0</v>
      </c>
      <c r="R803" s="28">
        <f>data[[#This Row],[Cantidad]]*data[[#This Row],[Precio de Venta Cliente ($/Unid)]]</f>
        <v>1779.47</v>
      </c>
      <c r="S803" s="29"/>
      <c r="T803" s="109" t="s">
        <v>36</v>
      </c>
      <c r="U803" s="109"/>
      <c r="V803" s="30" t="s">
        <v>46</v>
      </c>
      <c r="W803" s="32" t="s">
        <v>46</v>
      </c>
      <c r="X803" s="106" t="s">
        <v>23</v>
      </c>
      <c r="Y803" s="106" t="s">
        <v>23</v>
      </c>
      <c r="Z803" s="106" t="s">
        <v>50</v>
      </c>
      <c r="AA803" s="109"/>
    </row>
    <row r="804" spans="2:27" s="105" customFormat="1" x14ac:dyDescent="0.25">
      <c r="B804" s="104"/>
      <c r="C804" s="174" t="str">
        <f>TEXT(data[[#This Row],[Fecha de Envío
Cotización]],"MMMM")</f>
        <v>mayo</v>
      </c>
      <c r="D804" s="124">
        <v>44333</v>
      </c>
      <c r="E804" s="174" t="str">
        <f>IF(data[[#This Row],[Estatus de 
Cotización]]="PERDIDO","N/A","")</f>
        <v/>
      </c>
      <c r="F804" s="104"/>
      <c r="G804" s="109"/>
      <c r="H804" s="104"/>
      <c r="I804" s="86">
        <v>26125</v>
      </c>
      <c r="J804" s="106">
        <v>487</v>
      </c>
      <c r="K804" s="110" t="s">
        <v>1066</v>
      </c>
      <c r="L804" s="106"/>
      <c r="M804" s="108" t="s">
        <v>1528</v>
      </c>
      <c r="N804" s="106">
        <v>6</v>
      </c>
      <c r="O804" s="107"/>
      <c r="P804" s="107">
        <v>129.66</v>
      </c>
      <c r="Q804" s="28">
        <f>data[[#This Row],[Costo Producto
Proveedor ($/Unid)]]*data[[#This Row],[Cantidad]]</f>
        <v>0</v>
      </c>
      <c r="R804" s="28">
        <f>data[[#This Row],[Cantidad]]*data[[#This Row],[Precio de Venta Cliente ($/Unid)]]</f>
        <v>777.96</v>
      </c>
      <c r="S804" s="29"/>
      <c r="T804" s="109" t="s">
        <v>36</v>
      </c>
      <c r="U804" s="109"/>
      <c r="V804" s="30" t="s">
        <v>46</v>
      </c>
      <c r="W804" s="32" t="s">
        <v>46</v>
      </c>
      <c r="X804" s="106" t="s">
        <v>23</v>
      </c>
      <c r="Y804" s="106" t="s">
        <v>23</v>
      </c>
      <c r="Z804" s="106" t="s">
        <v>50</v>
      </c>
      <c r="AA804" s="109"/>
    </row>
    <row r="805" spans="2:27" s="105" customFormat="1" x14ac:dyDescent="0.25">
      <c r="B805" s="104"/>
      <c r="C805" s="174" t="str">
        <f>TEXT(data[[#This Row],[Fecha de Envío
Cotización]],"MMMM")</f>
        <v>mayo</v>
      </c>
      <c r="D805" s="124">
        <v>44333</v>
      </c>
      <c r="E805" s="174" t="str">
        <f>IF(data[[#This Row],[Estatus de 
Cotización]]="PERDIDO","N/A","")</f>
        <v/>
      </c>
      <c r="F805" s="104"/>
      <c r="G805" s="109"/>
      <c r="H805" s="104"/>
      <c r="I805" s="86">
        <v>26211</v>
      </c>
      <c r="J805" s="106">
        <v>487</v>
      </c>
      <c r="K805" s="110" t="s">
        <v>1066</v>
      </c>
      <c r="L805" s="106"/>
      <c r="M805" s="108" t="s">
        <v>1529</v>
      </c>
      <c r="N805" s="106">
        <v>4</v>
      </c>
      <c r="O805" s="107"/>
      <c r="P805" s="107">
        <v>138</v>
      </c>
      <c r="Q805" s="28">
        <f>data[[#This Row],[Costo Producto
Proveedor ($/Unid)]]*data[[#This Row],[Cantidad]]</f>
        <v>0</v>
      </c>
      <c r="R805" s="28">
        <f>data[[#This Row],[Cantidad]]*data[[#This Row],[Precio de Venta Cliente ($/Unid)]]</f>
        <v>552</v>
      </c>
      <c r="S805" s="29"/>
      <c r="T805" s="109" t="s">
        <v>36</v>
      </c>
      <c r="U805" s="109"/>
      <c r="V805" s="30" t="s">
        <v>46</v>
      </c>
      <c r="W805" s="32" t="s">
        <v>46</v>
      </c>
      <c r="X805" s="106" t="s">
        <v>23</v>
      </c>
      <c r="Y805" s="106" t="s">
        <v>23</v>
      </c>
      <c r="Z805" s="106" t="s">
        <v>50</v>
      </c>
      <c r="AA805" s="109"/>
    </row>
    <row r="806" spans="2:27" s="105" customFormat="1" x14ac:dyDescent="0.25">
      <c r="B806" s="104"/>
      <c r="C806" s="174" t="str">
        <f>TEXT(data[[#This Row],[Fecha de Envío
Cotización]],"MMMM")</f>
        <v>mayo</v>
      </c>
      <c r="D806" s="124">
        <v>44333</v>
      </c>
      <c r="E806" s="174" t="str">
        <f>IF(data[[#This Row],[Estatus de 
Cotización]]="PERDIDO","N/A","")</f>
        <v/>
      </c>
      <c r="F806" s="104"/>
      <c r="G806" s="109"/>
      <c r="H806" s="104"/>
      <c r="I806" s="86" t="s">
        <v>1540</v>
      </c>
      <c r="J806" s="106">
        <v>487</v>
      </c>
      <c r="K806" s="110" t="s">
        <v>1066</v>
      </c>
      <c r="L806" s="106"/>
      <c r="M806" s="108" t="s">
        <v>1530</v>
      </c>
      <c r="N806" s="106">
        <v>8</v>
      </c>
      <c r="O806" s="107"/>
      <c r="P806" s="107">
        <v>83.28</v>
      </c>
      <c r="Q806" s="28">
        <f>data[[#This Row],[Costo Producto
Proveedor ($/Unid)]]*data[[#This Row],[Cantidad]]</f>
        <v>0</v>
      </c>
      <c r="R806" s="28">
        <f>data[[#This Row],[Cantidad]]*data[[#This Row],[Precio de Venta Cliente ($/Unid)]]</f>
        <v>666.24</v>
      </c>
      <c r="S806" s="29"/>
      <c r="T806" s="109" t="s">
        <v>36</v>
      </c>
      <c r="U806" s="109"/>
      <c r="V806" s="30" t="s">
        <v>46</v>
      </c>
      <c r="W806" s="32" t="s">
        <v>46</v>
      </c>
      <c r="X806" s="106" t="s">
        <v>23</v>
      </c>
      <c r="Y806" s="106" t="s">
        <v>23</v>
      </c>
      <c r="Z806" s="106" t="s">
        <v>50</v>
      </c>
      <c r="AA806" s="109"/>
    </row>
    <row r="807" spans="2:27" s="105" customFormat="1" x14ac:dyDescent="0.25">
      <c r="B807" s="174"/>
      <c r="C807" s="174" t="str">
        <f>TEXT(data[[#This Row],[Fecha de Envío
Cotización]],"MMMM")</f>
        <v>mayo</v>
      </c>
      <c r="D807" s="124">
        <v>44333</v>
      </c>
      <c r="E807" s="174" t="str">
        <f>IF(data[[#This Row],[Estatus de 
Cotización]]="PERDIDO","N/A","")</f>
        <v/>
      </c>
      <c r="F807" s="174"/>
      <c r="G807" s="109"/>
      <c r="H807" s="174"/>
      <c r="I807" s="86">
        <v>26216</v>
      </c>
      <c r="J807" s="106">
        <v>487</v>
      </c>
      <c r="K807" s="110" t="s">
        <v>1066</v>
      </c>
      <c r="L807" s="106"/>
      <c r="M807" s="108" t="s">
        <v>1531</v>
      </c>
      <c r="N807" s="106">
        <v>2</v>
      </c>
      <c r="O807" s="107"/>
      <c r="P807" s="107">
        <v>467.03</v>
      </c>
      <c r="Q807" s="28">
        <f>data[[#This Row],[Costo Producto
Proveedor ($/Unid)]]*data[[#This Row],[Cantidad]]</f>
        <v>0</v>
      </c>
      <c r="R807" s="28">
        <f>data[[#This Row],[Cantidad]]*data[[#This Row],[Precio de Venta Cliente ($/Unid)]]</f>
        <v>934.06</v>
      </c>
      <c r="S807" s="29"/>
      <c r="T807" s="109" t="s">
        <v>36</v>
      </c>
      <c r="U807" s="109"/>
      <c r="V807" s="30" t="s">
        <v>46</v>
      </c>
      <c r="W807" s="32" t="s">
        <v>46</v>
      </c>
      <c r="X807" s="106" t="s">
        <v>23</v>
      </c>
      <c r="Y807" s="106" t="s">
        <v>23</v>
      </c>
      <c r="Z807" s="106" t="s">
        <v>50</v>
      </c>
      <c r="AA807" s="109"/>
    </row>
    <row r="808" spans="2:27" s="105" customFormat="1" x14ac:dyDescent="0.25">
      <c r="B808" s="174"/>
      <c r="C808" s="174" t="str">
        <f>TEXT(data[[#This Row],[Fecha de Envío
Cotización]],"MMMM")</f>
        <v>mayo</v>
      </c>
      <c r="D808" s="124">
        <v>44333</v>
      </c>
      <c r="E808" s="174" t="str">
        <f>IF(data[[#This Row],[Estatus de 
Cotización]]="PERDIDO","N/A","")</f>
        <v/>
      </c>
      <c r="F808" s="174"/>
      <c r="G808" s="109"/>
      <c r="H808" s="174"/>
      <c r="I808" s="86" t="s">
        <v>1541</v>
      </c>
      <c r="J808" s="106">
        <v>487</v>
      </c>
      <c r="K808" s="110" t="s">
        <v>1066</v>
      </c>
      <c r="L808" s="106"/>
      <c r="M808" s="108" t="s">
        <v>1532</v>
      </c>
      <c r="N808" s="106">
        <v>1</v>
      </c>
      <c r="O808" s="107"/>
      <c r="P808" s="107">
        <v>824.5</v>
      </c>
      <c r="Q808" s="28">
        <f>data[[#This Row],[Costo Producto
Proveedor ($/Unid)]]*data[[#This Row],[Cantidad]]</f>
        <v>0</v>
      </c>
      <c r="R808" s="28">
        <f>data[[#This Row],[Cantidad]]*data[[#This Row],[Precio de Venta Cliente ($/Unid)]]</f>
        <v>824.5</v>
      </c>
      <c r="S808" s="29"/>
      <c r="T808" s="109" t="s">
        <v>36</v>
      </c>
      <c r="U808" s="109"/>
      <c r="V808" s="30" t="s">
        <v>46</v>
      </c>
      <c r="W808" s="32" t="s">
        <v>46</v>
      </c>
      <c r="X808" s="106" t="s">
        <v>23</v>
      </c>
      <c r="Y808" s="106" t="s">
        <v>23</v>
      </c>
      <c r="Z808" s="106" t="s">
        <v>50</v>
      </c>
      <c r="AA808" s="109"/>
    </row>
    <row r="809" spans="2:27" s="105" customFormat="1" x14ac:dyDescent="0.25">
      <c r="B809" s="174"/>
      <c r="C809" s="174" t="str">
        <f>TEXT(data[[#This Row],[Fecha de Envío
Cotización]],"MMMM")</f>
        <v>mayo</v>
      </c>
      <c r="D809" s="124">
        <v>44333</v>
      </c>
      <c r="E809" s="174" t="str">
        <f>IF(data[[#This Row],[Estatus de 
Cotización]]="PERDIDO","N/A","")</f>
        <v/>
      </c>
      <c r="F809" s="174"/>
      <c r="G809" s="109"/>
      <c r="H809" s="174"/>
      <c r="I809" s="86">
        <v>26679</v>
      </c>
      <c r="J809" s="106">
        <v>487</v>
      </c>
      <c r="K809" s="110" t="s">
        <v>1066</v>
      </c>
      <c r="L809" s="106"/>
      <c r="M809" s="108" t="s">
        <v>1533</v>
      </c>
      <c r="N809" s="106">
        <v>2</v>
      </c>
      <c r="O809" s="107"/>
      <c r="P809" s="107">
        <v>720.16</v>
      </c>
      <c r="Q809" s="28">
        <f>data[[#This Row],[Costo Producto
Proveedor ($/Unid)]]*data[[#This Row],[Cantidad]]</f>
        <v>0</v>
      </c>
      <c r="R809" s="28">
        <f>data[[#This Row],[Cantidad]]*data[[#This Row],[Precio de Venta Cliente ($/Unid)]]</f>
        <v>1440.32</v>
      </c>
      <c r="S809" s="29"/>
      <c r="T809" s="109" t="s">
        <v>36</v>
      </c>
      <c r="U809" s="109"/>
      <c r="V809" s="30" t="s">
        <v>46</v>
      </c>
      <c r="W809" s="32" t="s">
        <v>46</v>
      </c>
      <c r="X809" s="106" t="s">
        <v>23</v>
      </c>
      <c r="Y809" s="106" t="s">
        <v>23</v>
      </c>
      <c r="Z809" s="106" t="s">
        <v>50</v>
      </c>
      <c r="AA809" s="109"/>
    </row>
    <row r="810" spans="2:27" s="105" customFormat="1" x14ac:dyDescent="0.25">
      <c r="B810" s="174"/>
      <c r="C810" s="174" t="str">
        <f>TEXT(data[[#This Row],[Fecha de Envío
Cotización]],"MMMM")</f>
        <v>mayo</v>
      </c>
      <c r="D810" s="124">
        <v>44333</v>
      </c>
      <c r="E810" s="174" t="str">
        <f>IF(data[[#This Row],[Estatus de 
Cotización]]="PERDIDO","N/A","")</f>
        <v/>
      </c>
      <c r="F810" s="174"/>
      <c r="G810" s="109"/>
      <c r="H810" s="174"/>
      <c r="I810" s="86" t="s">
        <v>1542</v>
      </c>
      <c r="J810" s="106">
        <v>487</v>
      </c>
      <c r="K810" s="110" t="s">
        <v>1066</v>
      </c>
      <c r="L810" s="106"/>
      <c r="M810" s="108" t="s">
        <v>1534</v>
      </c>
      <c r="N810" s="106">
        <v>2</v>
      </c>
      <c r="O810" s="107"/>
      <c r="P810" s="107">
        <v>67.62</v>
      </c>
      <c r="Q810" s="28">
        <f>data[[#This Row],[Costo Producto
Proveedor ($/Unid)]]*data[[#This Row],[Cantidad]]</f>
        <v>0</v>
      </c>
      <c r="R810" s="28">
        <f>data[[#This Row],[Cantidad]]*data[[#This Row],[Precio de Venta Cliente ($/Unid)]]</f>
        <v>135.24</v>
      </c>
      <c r="S810" s="29"/>
      <c r="T810" s="109" t="s">
        <v>36</v>
      </c>
      <c r="U810" s="109"/>
      <c r="V810" s="30" t="s">
        <v>46</v>
      </c>
      <c r="W810" s="32" t="s">
        <v>46</v>
      </c>
      <c r="X810" s="106" t="s">
        <v>23</v>
      </c>
      <c r="Y810" s="106" t="s">
        <v>23</v>
      </c>
      <c r="Z810" s="106" t="s">
        <v>50</v>
      </c>
      <c r="AA810" s="109"/>
    </row>
    <row r="811" spans="2:27" s="105" customFormat="1" x14ac:dyDescent="0.25">
      <c r="B811" s="174"/>
      <c r="C811" s="174" t="str">
        <f>TEXT(data[[#This Row],[Fecha de Envío
Cotización]],"MMMM")</f>
        <v>mayo</v>
      </c>
      <c r="D811" s="124">
        <v>44333</v>
      </c>
      <c r="E811" s="174" t="str">
        <f>IF(data[[#This Row],[Estatus de 
Cotización]]="PERDIDO","N/A","")</f>
        <v/>
      </c>
      <c r="F811" s="174"/>
      <c r="G811" s="109"/>
      <c r="H811" s="174"/>
      <c r="I811" s="86" t="s">
        <v>1543</v>
      </c>
      <c r="J811" s="106">
        <v>487</v>
      </c>
      <c r="K811" s="110" t="s">
        <v>1066</v>
      </c>
      <c r="L811" s="106"/>
      <c r="M811" s="108" t="s">
        <v>1535</v>
      </c>
      <c r="N811" s="106">
        <v>2</v>
      </c>
      <c r="O811" s="107"/>
      <c r="P811" s="107">
        <v>124.5</v>
      </c>
      <c r="Q811" s="28">
        <f>data[[#This Row],[Costo Producto
Proveedor ($/Unid)]]*data[[#This Row],[Cantidad]]</f>
        <v>0</v>
      </c>
      <c r="R811" s="28">
        <f>data[[#This Row],[Cantidad]]*data[[#This Row],[Precio de Venta Cliente ($/Unid)]]</f>
        <v>249</v>
      </c>
      <c r="S811" s="29"/>
      <c r="T811" s="109" t="s">
        <v>36</v>
      </c>
      <c r="U811" s="109"/>
      <c r="V811" s="30" t="s">
        <v>46</v>
      </c>
      <c r="W811" s="32" t="s">
        <v>46</v>
      </c>
      <c r="X811" s="106" t="s">
        <v>23</v>
      </c>
      <c r="Y811" s="106" t="s">
        <v>23</v>
      </c>
      <c r="Z811" s="106" t="s">
        <v>50</v>
      </c>
      <c r="AA811" s="109"/>
    </row>
    <row r="812" spans="2:27" s="105" customFormat="1" x14ac:dyDescent="0.25">
      <c r="B812" s="174"/>
      <c r="C812" s="174" t="str">
        <f>TEXT(data[[#This Row],[Fecha de Envío
Cotización]],"MMMM")</f>
        <v>mayo</v>
      </c>
      <c r="D812" s="124">
        <v>44333</v>
      </c>
      <c r="E812" s="174" t="str">
        <f>IF(data[[#This Row],[Estatus de 
Cotización]]="PERDIDO","N/A","")</f>
        <v/>
      </c>
      <c r="F812" s="174"/>
      <c r="G812" s="109"/>
      <c r="H812" s="174"/>
      <c r="I812" s="86" t="s">
        <v>1544</v>
      </c>
      <c r="J812" s="106">
        <v>487</v>
      </c>
      <c r="K812" s="110" t="s">
        <v>1066</v>
      </c>
      <c r="L812" s="106"/>
      <c r="M812" s="108" t="s">
        <v>1536</v>
      </c>
      <c r="N812" s="106">
        <v>2</v>
      </c>
      <c r="O812" s="107"/>
      <c r="P812" s="107">
        <v>138.53</v>
      </c>
      <c r="Q812" s="28">
        <f>data[[#This Row],[Costo Producto
Proveedor ($/Unid)]]*data[[#This Row],[Cantidad]]</f>
        <v>0</v>
      </c>
      <c r="R812" s="28">
        <f>data[[#This Row],[Cantidad]]*data[[#This Row],[Precio de Venta Cliente ($/Unid)]]</f>
        <v>277.06</v>
      </c>
      <c r="S812" s="29"/>
      <c r="T812" s="109" t="s">
        <v>36</v>
      </c>
      <c r="U812" s="109"/>
      <c r="V812" s="30" t="s">
        <v>46</v>
      </c>
      <c r="W812" s="32" t="s">
        <v>46</v>
      </c>
      <c r="X812" s="106" t="s">
        <v>23</v>
      </c>
      <c r="Y812" s="106" t="s">
        <v>23</v>
      </c>
      <c r="Z812" s="106" t="s">
        <v>50</v>
      </c>
      <c r="AA812" s="109"/>
    </row>
    <row r="813" spans="2:27" s="105" customFormat="1" x14ac:dyDescent="0.25">
      <c r="B813" s="174"/>
      <c r="C813" s="174" t="str">
        <f>TEXT(data[[#This Row],[Fecha de Envío
Cotización]],"MMMM")</f>
        <v>mayo</v>
      </c>
      <c r="D813" s="124">
        <v>44333</v>
      </c>
      <c r="E813" s="174" t="str">
        <f>IF(data[[#This Row],[Estatus de 
Cotización]]="PERDIDO","N/A","")</f>
        <v/>
      </c>
      <c r="F813" s="174"/>
      <c r="G813" s="109"/>
      <c r="H813" s="174"/>
      <c r="I813" s="86" t="s">
        <v>1545</v>
      </c>
      <c r="J813" s="106">
        <v>487</v>
      </c>
      <c r="K813" s="110" t="s">
        <v>1066</v>
      </c>
      <c r="L813" s="106"/>
      <c r="M813" s="108" t="s">
        <v>1537</v>
      </c>
      <c r="N813" s="106">
        <v>1</v>
      </c>
      <c r="O813" s="107"/>
      <c r="P813" s="107">
        <v>976.9</v>
      </c>
      <c r="Q813" s="28">
        <f>data[[#This Row],[Costo Producto
Proveedor ($/Unid)]]*data[[#This Row],[Cantidad]]</f>
        <v>0</v>
      </c>
      <c r="R813" s="28">
        <f>data[[#This Row],[Cantidad]]*data[[#This Row],[Precio de Venta Cliente ($/Unid)]]</f>
        <v>976.9</v>
      </c>
      <c r="S813" s="29"/>
      <c r="T813" s="109" t="s">
        <v>36</v>
      </c>
      <c r="U813" s="109"/>
      <c r="V813" s="30" t="s">
        <v>46</v>
      </c>
      <c r="W813" s="32" t="s">
        <v>46</v>
      </c>
      <c r="X813" s="106" t="s">
        <v>23</v>
      </c>
      <c r="Y813" s="106" t="s">
        <v>23</v>
      </c>
      <c r="Z813" s="106" t="s">
        <v>50</v>
      </c>
      <c r="AA813" s="109"/>
    </row>
    <row r="814" spans="2:27" s="105" customFormat="1" x14ac:dyDescent="0.25">
      <c r="B814" s="174"/>
      <c r="C814" s="174" t="str">
        <f>TEXT(data[[#This Row],[Fecha de Envío
Cotización]],"MMMM")</f>
        <v>mayo</v>
      </c>
      <c r="D814" s="124">
        <v>44334</v>
      </c>
      <c r="E814" s="174">
        <v>44337</v>
      </c>
      <c r="F814" s="174">
        <v>44377</v>
      </c>
      <c r="G814" s="109">
        <v>5500025301</v>
      </c>
      <c r="H814" s="174">
        <v>44337</v>
      </c>
      <c r="I814" s="86">
        <v>12190258943</v>
      </c>
      <c r="J814" s="106">
        <v>508</v>
      </c>
      <c r="K814" s="110" t="s">
        <v>283</v>
      </c>
      <c r="L814" s="106"/>
      <c r="M814" s="108" t="s">
        <v>1519</v>
      </c>
      <c r="N814" s="106">
        <v>1</v>
      </c>
      <c r="O814" s="107"/>
      <c r="P814" s="107">
        <v>1954.52</v>
      </c>
      <c r="Q814" s="28">
        <f>data[[#This Row],[Costo Producto
Proveedor ($/Unid)]]*data[[#This Row],[Cantidad]]</f>
        <v>0</v>
      </c>
      <c r="R814" s="28">
        <f>data[[#This Row],[Cantidad]]*data[[#This Row],[Precio de Venta Cliente ($/Unid)]]</f>
        <v>1954.52</v>
      </c>
      <c r="S814" s="29"/>
      <c r="T814" s="109" t="s">
        <v>16</v>
      </c>
      <c r="U814" s="109"/>
      <c r="V814" s="30" t="s">
        <v>44</v>
      </c>
      <c r="W814" s="32" t="s">
        <v>44</v>
      </c>
      <c r="X814" s="106" t="s">
        <v>45</v>
      </c>
      <c r="Y814" s="106" t="s">
        <v>503</v>
      </c>
      <c r="Z814" s="106" t="s">
        <v>50</v>
      </c>
      <c r="AA814" s="109" t="s">
        <v>1617</v>
      </c>
    </row>
    <row r="815" spans="2:27" s="105" customFormat="1" x14ac:dyDescent="0.25">
      <c r="B815" s="174"/>
      <c r="C815" s="174" t="str">
        <f>TEXT(data[[#This Row],[Fecha de Envío
Cotización]],"MMMM")</f>
        <v>mayo</v>
      </c>
      <c r="D815" s="124">
        <v>44334</v>
      </c>
      <c r="E815" s="174" t="str">
        <f>IF(data[[#This Row],[Estatus de 
Cotización]]="PERDIDO","N/A","")</f>
        <v/>
      </c>
      <c r="F815" s="174"/>
      <c r="G815" s="109"/>
      <c r="H815" s="174"/>
      <c r="I815" s="86">
        <v>20500</v>
      </c>
      <c r="J815" s="106">
        <v>511</v>
      </c>
      <c r="K815" s="110" t="s">
        <v>1109</v>
      </c>
      <c r="L815" s="106"/>
      <c r="M815" s="108" t="s">
        <v>1560</v>
      </c>
      <c r="N815" s="106">
        <v>1</v>
      </c>
      <c r="O815" s="107"/>
      <c r="P815" s="107">
        <v>2016.5</v>
      </c>
      <c r="Q815" s="28">
        <f>data[[#This Row],[Costo Producto
Proveedor ($/Unid)]]*data[[#This Row],[Cantidad]]</f>
        <v>0</v>
      </c>
      <c r="R815" s="28">
        <f>data[[#This Row],[Cantidad]]*data[[#This Row],[Precio de Venta Cliente ($/Unid)]]</f>
        <v>2016.5</v>
      </c>
      <c r="S815" s="29"/>
      <c r="T815" s="109" t="s">
        <v>16</v>
      </c>
      <c r="U815" s="109"/>
      <c r="V815" s="30" t="s">
        <v>46</v>
      </c>
      <c r="W815" s="32" t="s">
        <v>46</v>
      </c>
      <c r="X815" s="106" t="s">
        <v>23</v>
      </c>
      <c r="Y815" s="106" t="s">
        <v>23</v>
      </c>
      <c r="Z815" s="106" t="s">
        <v>50</v>
      </c>
      <c r="AA815" s="109"/>
    </row>
    <row r="816" spans="2:27" s="105" customFormat="1" x14ac:dyDescent="0.25">
      <c r="B816" s="174"/>
      <c r="C816" s="174" t="str">
        <f>TEXT(data[[#This Row],[Fecha de Envío
Cotización]],"MMMM")</f>
        <v>mayo</v>
      </c>
      <c r="D816" s="124">
        <v>44334</v>
      </c>
      <c r="E816" s="174">
        <v>44362</v>
      </c>
      <c r="F816" s="174"/>
      <c r="G816" s="109">
        <v>5500025493</v>
      </c>
      <c r="H816" s="110">
        <v>12190259630</v>
      </c>
      <c r="I816" s="86">
        <v>12190140803</v>
      </c>
      <c r="J816" s="106">
        <v>514</v>
      </c>
      <c r="K816" s="110" t="s">
        <v>283</v>
      </c>
      <c r="L816" s="106"/>
      <c r="M816" s="108" t="s">
        <v>1561</v>
      </c>
      <c r="N816" s="106">
        <v>1</v>
      </c>
      <c r="O816" s="107"/>
      <c r="P816" s="107">
        <v>958.7</v>
      </c>
      <c r="Q816" s="28">
        <f>data[[#This Row],[Costo Producto
Proveedor ($/Unid)]]*data[[#This Row],[Cantidad]]</f>
        <v>0</v>
      </c>
      <c r="R816" s="28">
        <f>data[[#This Row],[Cantidad]]*data[[#This Row],[Precio de Venta Cliente ($/Unid)]]</f>
        <v>958.7</v>
      </c>
      <c r="S816" s="29"/>
      <c r="T816" s="109" t="s">
        <v>16</v>
      </c>
      <c r="U816" s="109"/>
      <c r="V816" s="30" t="s">
        <v>44</v>
      </c>
      <c r="W816" s="32" t="s">
        <v>44</v>
      </c>
      <c r="X816" s="106" t="s">
        <v>503</v>
      </c>
      <c r="Y816" s="106" t="s">
        <v>503</v>
      </c>
      <c r="Z816" s="106" t="s">
        <v>50</v>
      </c>
      <c r="AA816" s="109"/>
    </row>
    <row r="817" spans="2:27" s="105" customFormat="1" x14ac:dyDescent="0.25">
      <c r="B817" s="174"/>
      <c r="C817" s="174" t="str">
        <f>TEXT(data[[#This Row],[Fecha de Envío
Cotización]],"MMMM")</f>
        <v>mayo</v>
      </c>
      <c r="D817" s="124">
        <v>44334</v>
      </c>
      <c r="E817" s="174" t="str">
        <f>IF(data[[#This Row],[Estatus de 
Cotización]]="PERDIDO","N/A","")</f>
        <v/>
      </c>
      <c r="F817" s="174"/>
      <c r="G817" s="109"/>
      <c r="H817" s="174"/>
      <c r="I817" s="86" t="s">
        <v>1562</v>
      </c>
      <c r="J817" s="106">
        <v>515</v>
      </c>
      <c r="K817" s="110" t="s">
        <v>117</v>
      </c>
      <c r="L817" s="106"/>
      <c r="M817" s="108" t="s">
        <v>1563</v>
      </c>
      <c r="N817" s="106">
        <v>1</v>
      </c>
      <c r="O817" s="107"/>
      <c r="P817" s="107">
        <v>204.11</v>
      </c>
      <c r="Q817" s="28">
        <f>data[[#This Row],[Costo Producto
Proveedor ($/Unid)]]*data[[#This Row],[Cantidad]]</f>
        <v>0</v>
      </c>
      <c r="R817" s="28">
        <f>data[[#This Row],[Cantidad]]*data[[#This Row],[Precio de Venta Cliente ($/Unid)]]</f>
        <v>204.11</v>
      </c>
      <c r="S817" s="29"/>
      <c r="T817" s="109" t="s">
        <v>16</v>
      </c>
      <c r="U817" s="109"/>
      <c r="V817" s="30" t="s">
        <v>46</v>
      </c>
      <c r="W817" s="32" t="s">
        <v>46</v>
      </c>
      <c r="X817" s="106" t="s">
        <v>23</v>
      </c>
      <c r="Y817" s="106" t="s">
        <v>23</v>
      </c>
      <c r="Z817" s="106" t="s">
        <v>50</v>
      </c>
      <c r="AA817" s="109"/>
    </row>
    <row r="818" spans="2:27" s="105" customFormat="1" x14ac:dyDescent="0.25">
      <c r="B818" s="174"/>
      <c r="C818" s="174" t="str">
        <f>TEXT(data[[#This Row],[Fecha de Envío
Cotización]],"MMMM")</f>
        <v>junio</v>
      </c>
      <c r="D818" s="124">
        <v>44364</v>
      </c>
      <c r="E818" s="174" t="str">
        <f>IF(data[[#This Row],[Estatus de 
Cotización]]="PERDIDO","N/A","")</f>
        <v/>
      </c>
      <c r="F818" s="174"/>
      <c r="G818" s="109"/>
      <c r="H818" s="174"/>
      <c r="I818" s="86">
        <v>12190258926</v>
      </c>
      <c r="J818" s="106">
        <v>812</v>
      </c>
      <c r="K818" s="110" t="s">
        <v>283</v>
      </c>
      <c r="L818" s="106"/>
      <c r="M818" s="3" t="s">
        <v>2255</v>
      </c>
      <c r="N818" s="106">
        <v>1</v>
      </c>
      <c r="O818" s="107"/>
      <c r="P818" s="107">
        <v>1157.74</v>
      </c>
      <c r="Q818" s="28">
        <f>data[[#This Row],[Costo Producto
Proveedor ($/Unid)]]*data[[#This Row],[Cantidad]]</f>
        <v>0</v>
      </c>
      <c r="R818" s="28">
        <f>data[[#This Row],[Cantidad]]*data[[#This Row],[Precio de Venta Cliente ($/Unid)]]</f>
        <v>1157.74</v>
      </c>
      <c r="S818" s="29"/>
      <c r="T818" s="31" t="s">
        <v>16</v>
      </c>
      <c r="U818" s="109"/>
      <c r="V818" s="30" t="s">
        <v>46</v>
      </c>
      <c r="W818" s="32" t="s">
        <v>46</v>
      </c>
      <c r="X818" s="106" t="s">
        <v>503</v>
      </c>
      <c r="Y818" s="106" t="s">
        <v>503</v>
      </c>
      <c r="Z818" s="106" t="s">
        <v>50</v>
      </c>
      <c r="AA818" s="109"/>
    </row>
    <row r="819" spans="2:27" s="105" customFormat="1" x14ac:dyDescent="0.25">
      <c r="B819" s="174"/>
      <c r="C819" s="174" t="str">
        <f>TEXT(data[[#This Row],[Fecha de Envío
Cotización]],"MMMM")</f>
        <v>junio</v>
      </c>
      <c r="D819" s="124">
        <v>44361</v>
      </c>
      <c r="E819" s="174" t="str">
        <f>IF(data[[#This Row],[Estatus de 
Cotización]]="PERDIDO","N/A","")</f>
        <v/>
      </c>
      <c r="F819" s="174"/>
      <c r="G819" s="109"/>
      <c r="H819" s="174"/>
      <c r="I819" s="86">
        <v>482214</v>
      </c>
      <c r="J819" s="106">
        <v>786</v>
      </c>
      <c r="K819" s="110" t="s">
        <v>283</v>
      </c>
      <c r="L819" s="106"/>
      <c r="M819" s="3" t="s">
        <v>2147</v>
      </c>
      <c r="N819" s="106">
        <v>3</v>
      </c>
      <c r="O819" s="107"/>
      <c r="P819" s="107">
        <v>294.67</v>
      </c>
      <c r="Q819" s="28">
        <f>data[[#This Row],[Costo Producto
Proveedor ($/Unid)]]*data[[#This Row],[Cantidad]]</f>
        <v>0</v>
      </c>
      <c r="R819" s="28">
        <f>data[[#This Row],[Cantidad]]*data[[#This Row],[Precio de Venta Cliente ($/Unid)]]</f>
        <v>884.01</v>
      </c>
      <c r="S819" s="29"/>
      <c r="T819" s="31" t="s">
        <v>36</v>
      </c>
      <c r="U819" s="109"/>
      <c r="V819" s="30" t="s">
        <v>46</v>
      </c>
      <c r="W819" s="32" t="s">
        <v>46</v>
      </c>
      <c r="X819" s="106" t="s">
        <v>503</v>
      </c>
      <c r="Y819" s="106" t="s">
        <v>503</v>
      </c>
      <c r="Z819" s="106" t="s">
        <v>50</v>
      </c>
      <c r="AA819" s="109"/>
    </row>
    <row r="820" spans="2:27" s="105" customFormat="1" x14ac:dyDescent="0.25">
      <c r="B820" s="174"/>
      <c r="C820" s="174" t="str">
        <f>TEXT(data[[#This Row],[Fecha de Envío
Cotización]],"MMMM")</f>
        <v>mayo</v>
      </c>
      <c r="D820" s="124">
        <v>44336</v>
      </c>
      <c r="E820" s="174" t="str">
        <f>IF(data[[#This Row],[Estatus de 
Cotización]]="PERDIDO","N/A","")</f>
        <v/>
      </c>
      <c r="F820" s="174"/>
      <c r="G820" s="109"/>
      <c r="H820" s="174"/>
      <c r="I820" s="86">
        <v>9611922076</v>
      </c>
      <c r="J820" s="106">
        <v>535</v>
      </c>
      <c r="K820" s="110" t="s">
        <v>283</v>
      </c>
      <c r="L820" s="106"/>
      <c r="M820" s="108" t="s">
        <v>1605</v>
      </c>
      <c r="N820" s="106">
        <v>7</v>
      </c>
      <c r="O820" s="107"/>
      <c r="P820" s="107">
        <v>623.1</v>
      </c>
      <c r="Q820" s="28">
        <f>data[[#This Row],[Costo Producto
Proveedor ($/Unid)]]*data[[#This Row],[Cantidad]]</f>
        <v>0</v>
      </c>
      <c r="R820" s="28">
        <f>data[[#This Row],[Cantidad]]*data[[#This Row],[Precio de Venta Cliente ($/Unid)]]</f>
        <v>4361.7</v>
      </c>
      <c r="S820" s="29"/>
      <c r="T820" s="109" t="s">
        <v>36</v>
      </c>
      <c r="U820" s="109"/>
      <c r="V820" s="30" t="s">
        <v>46</v>
      </c>
      <c r="W820" s="32" t="s">
        <v>46</v>
      </c>
      <c r="X820" s="106" t="s">
        <v>23</v>
      </c>
      <c r="Y820" s="106" t="s">
        <v>23</v>
      </c>
      <c r="Z820" s="106" t="s">
        <v>50</v>
      </c>
      <c r="AA820" s="109"/>
    </row>
    <row r="821" spans="2:27" s="105" customFormat="1" x14ac:dyDescent="0.25">
      <c r="B821" s="104"/>
      <c r="C821" s="174" t="str">
        <f>TEXT(data[[#This Row],[Fecha de Envío
Cotización]],"MMMM")</f>
        <v>mayo</v>
      </c>
      <c r="D821" s="124">
        <v>44344</v>
      </c>
      <c r="E821" s="174" t="str">
        <f>IF(data[[#This Row],[Estatus de 
Cotización]]="PERDIDO","N/A","")</f>
        <v/>
      </c>
      <c r="F821" s="104"/>
      <c r="G821" s="109"/>
      <c r="H821" s="104"/>
      <c r="I821" s="86">
        <v>12190259265</v>
      </c>
      <c r="J821" s="106">
        <v>668</v>
      </c>
      <c r="K821" s="110" t="s">
        <v>283</v>
      </c>
      <c r="L821" s="106"/>
      <c r="M821" s="105" t="s">
        <v>1792</v>
      </c>
      <c r="N821" s="106">
        <v>1</v>
      </c>
      <c r="O821" s="107"/>
      <c r="P821" s="107">
        <v>744.21</v>
      </c>
      <c r="Q821" s="28">
        <f>data[[#This Row],[Costo Producto
Proveedor ($/Unid)]]*data[[#This Row],[Cantidad]]</f>
        <v>0</v>
      </c>
      <c r="R821" s="28">
        <f>data[[#This Row],[Cantidad]]*data[[#This Row],[Precio de Venta Cliente ($/Unid)]]</f>
        <v>744.21</v>
      </c>
      <c r="S821" s="29"/>
      <c r="T821" s="109" t="s">
        <v>16</v>
      </c>
      <c r="U821" s="109"/>
      <c r="V821" s="30" t="s">
        <v>46</v>
      </c>
      <c r="W821" s="32" t="s">
        <v>46</v>
      </c>
      <c r="X821" s="106" t="s">
        <v>23</v>
      </c>
      <c r="Y821" s="106" t="s">
        <v>23</v>
      </c>
      <c r="Z821" s="106" t="s">
        <v>50</v>
      </c>
      <c r="AA821" s="109"/>
    </row>
    <row r="822" spans="2:27" s="105" customFormat="1" x14ac:dyDescent="0.25">
      <c r="B822" s="174"/>
      <c r="C822" s="174" t="str">
        <f>TEXT(data[[#This Row],[Fecha de Envío
Cotización]],"MMMM")</f>
        <v>mayo</v>
      </c>
      <c r="D822" s="174">
        <v>44333</v>
      </c>
      <c r="E822" s="174" t="str">
        <f>IF(data[[#This Row],[Estatus de 
Cotización]]="PERDIDO","N/A","")</f>
        <v/>
      </c>
      <c r="F822" s="174"/>
      <c r="G822" s="109"/>
      <c r="H822" s="174"/>
      <c r="I822" s="86">
        <v>511510023</v>
      </c>
      <c r="J822" s="106">
        <v>1578</v>
      </c>
      <c r="K822" s="110" t="s">
        <v>283</v>
      </c>
      <c r="L822" s="106"/>
      <c r="M822" s="108" t="s">
        <v>1488</v>
      </c>
      <c r="N822" s="106">
        <v>1</v>
      </c>
      <c r="O822" s="107"/>
      <c r="P822" s="107">
        <v>839.15</v>
      </c>
      <c r="Q822" s="28">
        <f>data[[#This Row],[Costo Producto
Proveedor ($/Unid)]]*data[[#This Row],[Cantidad]]</f>
        <v>0</v>
      </c>
      <c r="R822" s="28">
        <f>data[[#This Row],[Cantidad]]*data[[#This Row],[Precio de Venta Cliente ($/Unid)]]</f>
        <v>839.15</v>
      </c>
      <c r="S822" s="29"/>
      <c r="T822" s="109" t="s">
        <v>134</v>
      </c>
      <c r="U822" s="109"/>
      <c r="V822" s="30" t="s">
        <v>46</v>
      </c>
      <c r="W822" s="32" t="s">
        <v>46</v>
      </c>
      <c r="X822" s="106" t="s">
        <v>23</v>
      </c>
      <c r="Y822" s="106" t="s">
        <v>23</v>
      </c>
      <c r="Z822" s="106" t="s">
        <v>50</v>
      </c>
      <c r="AA822" s="109"/>
    </row>
    <row r="823" spans="2:27" s="105" customFormat="1" x14ac:dyDescent="0.25">
      <c r="B823" s="174"/>
      <c r="C823" s="174" t="str">
        <f>TEXT(data[[#This Row],[Fecha de Envío
Cotización]],"MMMM")</f>
        <v>mayo</v>
      </c>
      <c r="D823" s="124">
        <v>44335</v>
      </c>
      <c r="E823" s="174" t="str">
        <f>IF(data[[#This Row],[Estatus de 
Cotización]]="PERDIDO","N/A","")</f>
        <v/>
      </c>
      <c r="F823" s="174"/>
      <c r="G823" s="109"/>
      <c r="H823" s="174"/>
      <c r="I823" s="86" t="s">
        <v>1609</v>
      </c>
      <c r="J823" s="106">
        <v>517</v>
      </c>
      <c r="K823" s="110" t="s">
        <v>125</v>
      </c>
      <c r="L823" s="106"/>
      <c r="M823" s="108" t="s">
        <v>1610</v>
      </c>
      <c r="N823" s="106">
        <v>1</v>
      </c>
      <c r="O823" s="107"/>
      <c r="P823" s="107">
        <v>246.32</v>
      </c>
      <c r="Q823" s="28">
        <f>data[[#This Row],[Costo Producto
Proveedor ($/Unid)]]*data[[#This Row],[Cantidad]]</f>
        <v>0</v>
      </c>
      <c r="R823" s="28">
        <f>data[[#This Row],[Cantidad]]*data[[#This Row],[Precio de Venta Cliente ($/Unid)]]</f>
        <v>246.32</v>
      </c>
      <c r="S823" s="29"/>
      <c r="T823" s="109" t="s">
        <v>16</v>
      </c>
      <c r="U823" s="109"/>
      <c r="V823" s="30" t="s">
        <v>46</v>
      </c>
      <c r="W823" s="32" t="s">
        <v>46</v>
      </c>
      <c r="X823" s="106" t="s">
        <v>23</v>
      </c>
      <c r="Y823" s="106" t="s">
        <v>23</v>
      </c>
      <c r="Z823" s="106" t="s">
        <v>50</v>
      </c>
      <c r="AA823" s="109"/>
    </row>
    <row r="824" spans="2:27" s="105" customFormat="1" x14ac:dyDescent="0.25">
      <c r="B824" s="174"/>
      <c r="C824" s="174" t="str">
        <f>TEXT(data[[#This Row],[Fecha de Envío
Cotización]],"MMMM")</f>
        <v>mayo</v>
      </c>
      <c r="D824" s="124">
        <v>44335</v>
      </c>
      <c r="E824" s="174">
        <v>44335</v>
      </c>
      <c r="F824" s="174"/>
      <c r="G824" s="109">
        <v>5500025302</v>
      </c>
      <c r="H824" s="174">
        <v>44335</v>
      </c>
      <c r="I824" s="86" t="s">
        <v>1569</v>
      </c>
      <c r="J824" s="106">
        <v>519</v>
      </c>
      <c r="K824" s="110" t="s">
        <v>283</v>
      </c>
      <c r="L824" s="106"/>
      <c r="M824" s="108" t="s">
        <v>1570</v>
      </c>
      <c r="N824" s="106">
        <v>2</v>
      </c>
      <c r="O824" s="107"/>
      <c r="P824" s="107">
        <v>44.92</v>
      </c>
      <c r="Q824" s="28">
        <f>data[[#This Row],[Costo Producto
Proveedor ($/Unid)]]*data[[#This Row],[Cantidad]]</f>
        <v>0</v>
      </c>
      <c r="R824" s="28">
        <f>data[[#This Row],[Cantidad]]*data[[#This Row],[Precio de Venta Cliente ($/Unid)]]</f>
        <v>89.84</v>
      </c>
      <c r="S824" s="29"/>
      <c r="T824" s="109" t="s">
        <v>16</v>
      </c>
      <c r="U824" s="109"/>
      <c r="V824" s="30" t="s">
        <v>44</v>
      </c>
      <c r="W824" s="32" t="s">
        <v>44</v>
      </c>
      <c r="X824" s="106" t="s">
        <v>503</v>
      </c>
      <c r="Y824" s="106" t="s">
        <v>503</v>
      </c>
      <c r="Z824" s="106" t="s">
        <v>50</v>
      </c>
      <c r="AA824" s="109"/>
    </row>
    <row r="825" spans="2:27" s="105" customFormat="1" x14ac:dyDescent="0.25">
      <c r="B825" s="174"/>
      <c r="C825" s="174" t="str">
        <f>TEXT(data[[#This Row],[Fecha de Envío
Cotización]],"MMMM")</f>
        <v>mayo</v>
      </c>
      <c r="D825" s="124">
        <v>44335</v>
      </c>
      <c r="E825" s="174" t="str">
        <f>IF(data[[#This Row],[Estatus de 
Cotización]]="PERDIDO","N/A","")</f>
        <v/>
      </c>
      <c r="F825" s="174"/>
      <c r="G825" s="109"/>
      <c r="H825" s="174"/>
      <c r="I825" s="86" t="s">
        <v>1611</v>
      </c>
      <c r="J825" s="106">
        <v>522</v>
      </c>
      <c r="K825" s="110" t="s">
        <v>346</v>
      </c>
      <c r="L825" s="106"/>
      <c r="M825" s="108" t="s">
        <v>1612</v>
      </c>
      <c r="N825" s="106">
        <v>1</v>
      </c>
      <c r="O825" s="107"/>
      <c r="P825" s="107">
        <v>596.01</v>
      </c>
      <c r="Q825" s="28">
        <f>data[[#This Row],[Costo Producto
Proveedor ($/Unid)]]*data[[#This Row],[Cantidad]]</f>
        <v>0</v>
      </c>
      <c r="R825" s="28">
        <f>data[[#This Row],[Cantidad]]*data[[#This Row],[Precio de Venta Cliente ($/Unid)]]</f>
        <v>596.01</v>
      </c>
      <c r="S825" s="29"/>
      <c r="T825" s="109" t="s">
        <v>16</v>
      </c>
      <c r="U825" s="109"/>
      <c r="V825" s="30" t="s">
        <v>46</v>
      </c>
      <c r="W825" s="32" t="s">
        <v>46</v>
      </c>
      <c r="X825" s="106" t="s">
        <v>23</v>
      </c>
      <c r="Y825" s="106" t="s">
        <v>23</v>
      </c>
      <c r="Z825" s="106" t="s">
        <v>50</v>
      </c>
      <c r="AA825" s="109"/>
    </row>
    <row r="826" spans="2:27" s="105" customFormat="1" x14ac:dyDescent="0.25">
      <c r="B826" s="174"/>
      <c r="C826" s="174" t="str">
        <f>TEXT(data[[#This Row],[Fecha de Envío
Cotización]],"MMMM")</f>
        <v>mayo</v>
      </c>
      <c r="D826" s="124">
        <v>44336</v>
      </c>
      <c r="E826" s="174" t="str">
        <f>IF(data[[#This Row],[Estatus de 
Cotización]]="PERDIDO","N/A","")</f>
        <v/>
      </c>
      <c r="F826" s="174"/>
      <c r="G826" s="109"/>
      <c r="H826" s="174"/>
      <c r="I826" s="86">
        <v>204852202</v>
      </c>
      <c r="J826" s="106">
        <v>530</v>
      </c>
      <c r="K826" s="110" t="s">
        <v>126</v>
      </c>
      <c r="L826" s="106"/>
      <c r="M826" s="108" t="s">
        <v>1592</v>
      </c>
      <c r="N826" s="106">
        <v>1</v>
      </c>
      <c r="O826" s="107"/>
      <c r="P826" s="107">
        <v>3268.8</v>
      </c>
      <c r="Q826" s="28">
        <f>data[[#This Row],[Costo Producto
Proveedor ($/Unid)]]*data[[#This Row],[Cantidad]]</f>
        <v>0</v>
      </c>
      <c r="R826" s="28">
        <f>data[[#This Row],[Cantidad]]*data[[#This Row],[Precio de Venta Cliente ($/Unid)]]</f>
        <v>3268.8</v>
      </c>
      <c r="S826" s="29"/>
      <c r="T826" s="109" t="s">
        <v>36</v>
      </c>
      <c r="U826" s="109"/>
      <c r="V826" s="30" t="s">
        <v>46</v>
      </c>
      <c r="W826" s="32" t="s">
        <v>46</v>
      </c>
      <c r="X826" s="106" t="s">
        <v>23</v>
      </c>
      <c r="Y826" s="106" t="s">
        <v>23</v>
      </c>
      <c r="Z826" s="106" t="s">
        <v>50</v>
      </c>
      <c r="AA826" s="109"/>
    </row>
    <row r="827" spans="2:27" s="105" customFormat="1" x14ac:dyDescent="0.25">
      <c r="B827" s="174"/>
      <c r="C827" s="174" t="str">
        <f>TEXT(data[[#This Row],[Fecha de Envío
Cotización]],"MMMM")</f>
        <v>junio</v>
      </c>
      <c r="D827" s="124">
        <v>44361</v>
      </c>
      <c r="E827" s="174" t="str">
        <f>IF(data[[#This Row],[Estatus de 
Cotización]]="PERDIDO","N/A","")</f>
        <v/>
      </c>
      <c r="F827" s="174"/>
      <c r="G827" s="109"/>
      <c r="H827" s="174"/>
      <c r="I827" s="86" t="s">
        <v>2129</v>
      </c>
      <c r="J827" s="106">
        <v>779</v>
      </c>
      <c r="K827" s="110" t="s">
        <v>283</v>
      </c>
      <c r="L827" s="106"/>
      <c r="M827" s="3" t="s">
        <v>2131</v>
      </c>
      <c r="N827" s="106">
        <v>3</v>
      </c>
      <c r="O827" s="107"/>
      <c r="P827" s="107">
        <v>134.08000000000001</v>
      </c>
      <c r="Q827" s="28">
        <f>data[[#This Row],[Costo Producto
Proveedor ($/Unid)]]*data[[#This Row],[Cantidad]]</f>
        <v>0</v>
      </c>
      <c r="R827" s="28">
        <f>data[[#This Row],[Cantidad]]*data[[#This Row],[Precio de Venta Cliente ($/Unid)]]</f>
        <v>402.24</v>
      </c>
      <c r="S827" s="29"/>
      <c r="T827" s="31" t="s">
        <v>36</v>
      </c>
      <c r="U827" s="109"/>
      <c r="V827" s="30" t="s">
        <v>46</v>
      </c>
      <c r="W827" s="32" t="s">
        <v>46</v>
      </c>
      <c r="X827" s="106" t="s">
        <v>503</v>
      </c>
      <c r="Y827" s="106" t="s">
        <v>503</v>
      </c>
      <c r="Z827" s="106" t="s">
        <v>50</v>
      </c>
      <c r="AA827" s="109"/>
    </row>
    <row r="828" spans="2:27" s="105" customFormat="1" x14ac:dyDescent="0.25">
      <c r="B828" s="174"/>
      <c r="C828" s="174" t="str">
        <f>TEXT(data[[#This Row],[Fecha de Envío
Cotización]],"MMMM")</f>
        <v>mayo</v>
      </c>
      <c r="D828" s="124">
        <v>44344</v>
      </c>
      <c r="E828" s="174" t="str">
        <f>IF(data[[#This Row],[Estatus de 
Cotización]]="PERDIDO","N/A","")</f>
        <v/>
      </c>
      <c r="F828" s="174"/>
      <c r="G828" s="109"/>
      <c r="H828" s="174"/>
      <c r="I828" s="86" t="s">
        <v>1793</v>
      </c>
      <c r="J828" s="106">
        <v>669</v>
      </c>
      <c r="K828" s="110" t="s">
        <v>283</v>
      </c>
      <c r="L828" s="106"/>
      <c r="M828" s="105" t="s">
        <v>1794</v>
      </c>
      <c r="N828" s="106">
        <v>6</v>
      </c>
      <c r="O828" s="107"/>
      <c r="P828" s="107">
        <v>1021.54</v>
      </c>
      <c r="Q828" s="28">
        <f>data[[#This Row],[Costo Producto
Proveedor ($/Unid)]]*data[[#This Row],[Cantidad]]</f>
        <v>0</v>
      </c>
      <c r="R828" s="28">
        <f>data[[#This Row],[Cantidad]]*data[[#This Row],[Precio de Venta Cliente ($/Unid)]]</f>
        <v>6129.24</v>
      </c>
      <c r="S828" s="29"/>
      <c r="T828" s="109" t="s">
        <v>124</v>
      </c>
      <c r="U828" s="109"/>
      <c r="V828" s="30" t="s">
        <v>46</v>
      </c>
      <c r="W828" s="32" t="s">
        <v>46</v>
      </c>
      <c r="X828" s="106" t="s">
        <v>23</v>
      </c>
      <c r="Y828" s="106" t="s">
        <v>23</v>
      </c>
      <c r="Z828" s="106" t="s">
        <v>50</v>
      </c>
      <c r="AA828" s="109"/>
    </row>
    <row r="829" spans="2:27" s="105" customFormat="1" x14ac:dyDescent="0.25">
      <c r="B829" s="174"/>
      <c r="C829" s="174" t="str">
        <f>TEXT(data[[#This Row],[Fecha de Envío
Cotización]],"MMMM")</f>
        <v>junio</v>
      </c>
      <c r="D829" s="124">
        <v>44354</v>
      </c>
      <c r="E829" s="174" t="str">
        <f>IF(data[[#This Row],[Estatus de 
Cotización]]="PERDIDO","N/A","")</f>
        <v/>
      </c>
      <c r="F829" s="174"/>
      <c r="G829" s="109"/>
      <c r="H829" s="174"/>
      <c r="I829" s="86">
        <v>1000064646</v>
      </c>
      <c r="J829" s="106">
        <v>732</v>
      </c>
      <c r="K829" s="110" t="s">
        <v>283</v>
      </c>
      <c r="L829" s="106"/>
      <c r="M829" s="105" t="s">
        <v>1987</v>
      </c>
      <c r="N829" s="106">
        <v>2</v>
      </c>
      <c r="O829" s="107"/>
      <c r="P829" s="107">
        <v>167.19</v>
      </c>
      <c r="Q829" s="28">
        <f>data[[#This Row],[Costo Producto
Proveedor ($/Unid)]]*data[[#This Row],[Cantidad]]</f>
        <v>0</v>
      </c>
      <c r="R829" s="28">
        <f>data[[#This Row],[Cantidad]]*data[[#This Row],[Precio de Venta Cliente ($/Unid)]]</f>
        <v>334.38</v>
      </c>
      <c r="S829" s="29"/>
      <c r="T829" s="109" t="s">
        <v>36</v>
      </c>
      <c r="U829" s="109"/>
      <c r="V829" s="30" t="s">
        <v>46</v>
      </c>
      <c r="W829" s="32" t="s">
        <v>46</v>
      </c>
      <c r="X829" s="106" t="s">
        <v>23</v>
      </c>
      <c r="Y829" s="106" t="s">
        <v>23</v>
      </c>
      <c r="Z829" s="106" t="s">
        <v>50</v>
      </c>
      <c r="AA829" s="109"/>
    </row>
    <row r="830" spans="2:27" s="105" customFormat="1" x14ac:dyDescent="0.25">
      <c r="B830" s="174"/>
      <c r="C830" s="174" t="str">
        <f>TEXT(data[[#This Row],[Fecha de Envío
Cotización]],"MMMM")</f>
        <v>mayo</v>
      </c>
      <c r="D830" s="124">
        <v>44340</v>
      </c>
      <c r="E830" s="174" t="str">
        <f>IF(data[[#This Row],[Estatus de 
Cotización]]="PERDIDO","N/A","")</f>
        <v/>
      </c>
      <c r="F830" s="174"/>
      <c r="G830" s="109"/>
      <c r="H830" s="174"/>
      <c r="I830" s="86">
        <v>12190153994</v>
      </c>
      <c r="J830" s="106">
        <v>623</v>
      </c>
      <c r="K830" s="110" t="s">
        <v>283</v>
      </c>
      <c r="L830" s="106"/>
      <c r="M830" s="108" t="s">
        <v>1678</v>
      </c>
      <c r="N830" s="106">
        <v>1</v>
      </c>
      <c r="O830" s="107"/>
      <c r="P830" s="107">
        <v>1252.04</v>
      </c>
      <c r="Q830" s="28">
        <f>data[[#This Row],[Costo Producto
Proveedor ($/Unid)]]*data[[#This Row],[Cantidad]]</f>
        <v>0</v>
      </c>
      <c r="R830" s="28">
        <f>data[[#This Row],[Cantidad]]*data[[#This Row],[Precio de Venta Cliente ($/Unid)]]</f>
        <v>1252.04</v>
      </c>
      <c r="S830" s="29"/>
      <c r="T830" s="109" t="s">
        <v>22</v>
      </c>
      <c r="U830" s="109"/>
      <c r="V830" s="30" t="s">
        <v>46</v>
      </c>
      <c r="W830" s="32" t="s">
        <v>46</v>
      </c>
      <c r="X830" s="106" t="s">
        <v>23</v>
      </c>
      <c r="Y830" s="106" t="s">
        <v>23</v>
      </c>
      <c r="Z830" s="106" t="s">
        <v>50</v>
      </c>
      <c r="AA830" s="109"/>
    </row>
    <row r="831" spans="2:27" s="105" customFormat="1" x14ac:dyDescent="0.25">
      <c r="B831" s="174"/>
      <c r="C831" s="174" t="str">
        <f>TEXT(data[[#This Row],[Fecha de Envío
Cotización]],"MMMM")</f>
        <v>junio</v>
      </c>
      <c r="D831" s="124">
        <v>44348</v>
      </c>
      <c r="E831" s="174" t="str">
        <f>IF(data[[#This Row],[Estatus de 
Cotización]]="PERDIDO","N/A","")</f>
        <v/>
      </c>
      <c r="F831" s="174"/>
      <c r="G831" s="109"/>
      <c r="H831" s="174"/>
      <c r="I831" s="86">
        <v>12190153994</v>
      </c>
      <c r="J831" s="106">
        <v>684</v>
      </c>
      <c r="K831" s="110" t="s">
        <v>283</v>
      </c>
      <c r="L831" s="106"/>
      <c r="M831" s="105" t="s">
        <v>1678</v>
      </c>
      <c r="N831" s="106">
        <v>1</v>
      </c>
      <c r="O831" s="107"/>
      <c r="P831" s="107">
        <v>1202.04</v>
      </c>
      <c r="Q831" s="28">
        <f>data[[#This Row],[Costo Producto
Proveedor ($/Unid)]]*data[[#This Row],[Cantidad]]</f>
        <v>0</v>
      </c>
      <c r="R831" s="28">
        <f>data[[#This Row],[Cantidad]]*data[[#This Row],[Precio de Venta Cliente ($/Unid)]]</f>
        <v>1202.04</v>
      </c>
      <c r="S831" s="29"/>
      <c r="T831" s="109" t="s">
        <v>22</v>
      </c>
      <c r="U831" s="109"/>
      <c r="V831" s="30" t="s">
        <v>46</v>
      </c>
      <c r="W831" s="32" t="s">
        <v>46</v>
      </c>
      <c r="X831" s="106" t="s">
        <v>23</v>
      </c>
      <c r="Y831" s="106" t="s">
        <v>23</v>
      </c>
      <c r="Z831" s="106" t="s">
        <v>50</v>
      </c>
      <c r="AA831" s="109"/>
    </row>
    <row r="832" spans="2:27" s="105" customFormat="1" x14ac:dyDescent="0.25">
      <c r="B832" s="174"/>
      <c r="C832" s="174" t="str">
        <f>TEXT(data[[#This Row],[Fecha de Envío
Cotización]],"MMMM")</f>
        <v>mayo</v>
      </c>
      <c r="D832" s="124">
        <v>44340</v>
      </c>
      <c r="E832" s="174" t="str">
        <f>IF(data[[#This Row],[Estatus de 
Cotización]]="PERDIDO","N/A","")</f>
        <v/>
      </c>
      <c r="F832" s="174"/>
      <c r="G832" s="109"/>
      <c r="H832" s="174"/>
      <c r="I832" s="86">
        <v>12190150113</v>
      </c>
      <c r="J832" s="106">
        <v>623</v>
      </c>
      <c r="K832" s="110" t="s">
        <v>283</v>
      </c>
      <c r="L832" s="106"/>
      <c r="M832" s="108" t="s">
        <v>1679</v>
      </c>
      <c r="N832" s="106">
        <v>1</v>
      </c>
      <c r="O832" s="107"/>
      <c r="P832" s="107">
        <v>1252.04</v>
      </c>
      <c r="Q832" s="28">
        <f>data[[#This Row],[Costo Producto
Proveedor ($/Unid)]]*data[[#This Row],[Cantidad]]</f>
        <v>0</v>
      </c>
      <c r="R832" s="28">
        <f>data[[#This Row],[Cantidad]]*data[[#This Row],[Precio de Venta Cliente ($/Unid)]]</f>
        <v>1252.04</v>
      </c>
      <c r="S832" s="29"/>
      <c r="T832" s="109" t="s">
        <v>22</v>
      </c>
      <c r="U832" s="109"/>
      <c r="V832" s="30" t="s">
        <v>46</v>
      </c>
      <c r="W832" s="32" t="s">
        <v>46</v>
      </c>
      <c r="X832" s="106" t="s">
        <v>23</v>
      </c>
      <c r="Y832" s="106" t="s">
        <v>23</v>
      </c>
      <c r="Z832" s="106" t="s">
        <v>50</v>
      </c>
      <c r="AA832" s="109"/>
    </row>
    <row r="833" spans="2:27" s="105" customFormat="1" x14ac:dyDescent="0.25">
      <c r="B833" s="174"/>
      <c r="C833" s="174" t="str">
        <f>TEXT(data[[#This Row],[Fecha de Envío
Cotización]],"MMMM")</f>
        <v>mayo</v>
      </c>
      <c r="D833" s="124">
        <v>44337</v>
      </c>
      <c r="E833" s="174" t="str">
        <f>IF(data[[#This Row],[Estatus de 
Cotización]]="PERDIDO","N/A","")</f>
        <v/>
      </c>
      <c r="F833" s="174"/>
      <c r="G833" s="109"/>
      <c r="H833" s="174"/>
      <c r="I833" s="86">
        <v>164276</v>
      </c>
      <c r="J833" s="106">
        <v>543</v>
      </c>
      <c r="K833" s="110" t="s">
        <v>117</v>
      </c>
      <c r="L833" s="106"/>
      <c r="M833" s="108" t="s">
        <v>1586</v>
      </c>
      <c r="N833" s="106">
        <v>3</v>
      </c>
      <c r="O833" s="107"/>
      <c r="P833" s="107">
        <v>156.63999999999999</v>
      </c>
      <c r="Q833" s="28">
        <f>data[[#This Row],[Costo Producto
Proveedor ($/Unid)]]*data[[#This Row],[Cantidad]]</f>
        <v>0</v>
      </c>
      <c r="R833" s="28">
        <f>data[[#This Row],[Cantidad]]*data[[#This Row],[Precio de Venta Cliente ($/Unid)]]</f>
        <v>469.91999999999996</v>
      </c>
      <c r="S833" s="29"/>
      <c r="T833" s="109" t="s">
        <v>22</v>
      </c>
      <c r="U833" s="109"/>
      <c r="V833" s="30" t="s">
        <v>46</v>
      </c>
      <c r="W833" s="32" t="s">
        <v>46</v>
      </c>
      <c r="X833" s="106" t="s">
        <v>23</v>
      </c>
      <c r="Y833" s="106" t="s">
        <v>23</v>
      </c>
      <c r="Z833" s="106" t="s">
        <v>50</v>
      </c>
      <c r="AA833" s="109"/>
    </row>
    <row r="834" spans="2:27" s="105" customFormat="1" x14ac:dyDescent="0.25">
      <c r="B834" s="174"/>
      <c r="C834" s="174" t="str">
        <f>TEXT(data[[#This Row],[Fecha de Envío
Cotización]],"MMMM")</f>
        <v>mayo</v>
      </c>
      <c r="D834" s="124">
        <v>44337</v>
      </c>
      <c r="E834" s="174" t="str">
        <f>IF(data[[#This Row],[Estatus de 
Cotización]]="PERDIDO","N/A","")</f>
        <v/>
      </c>
      <c r="F834" s="174"/>
      <c r="G834" s="109"/>
      <c r="H834" s="174"/>
      <c r="I834" s="86">
        <v>164277</v>
      </c>
      <c r="J834" s="106">
        <v>543</v>
      </c>
      <c r="K834" s="110" t="s">
        <v>117</v>
      </c>
      <c r="L834" s="106"/>
      <c r="M834" s="108" t="s">
        <v>1587</v>
      </c>
      <c r="N834" s="106">
        <v>4</v>
      </c>
      <c r="O834" s="107"/>
      <c r="P834" s="107">
        <v>214.71</v>
      </c>
      <c r="Q834" s="28">
        <f>data[[#This Row],[Costo Producto
Proveedor ($/Unid)]]*data[[#This Row],[Cantidad]]</f>
        <v>0</v>
      </c>
      <c r="R834" s="28">
        <f>data[[#This Row],[Cantidad]]*data[[#This Row],[Precio de Venta Cliente ($/Unid)]]</f>
        <v>858.84</v>
      </c>
      <c r="S834" s="29"/>
      <c r="T834" s="109" t="s">
        <v>22</v>
      </c>
      <c r="U834" s="109"/>
      <c r="V834" s="30" t="s">
        <v>46</v>
      </c>
      <c r="W834" s="32" t="s">
        <v>46</v>
      </c>
      <c r="X834" s="106" t="s">
        <v>23</v>
      </c>
      <c r="Y834" s="106" t="s">
        <v>23</v>
      </c>
      <c r="Z834" s="106" t="s">
        <v>50</v>
      </c>
      <c r="AA834" s="109"/>
    </row>
    <row r="835" spans="2:27" s="105" customFormat="1" x14ac:dyDescent="0.25">
      <c r="B835" s="174"/>
      <c r="C835" s="174" t="str">
        <f>TEXT(data[[#This Row],[Fecha de Envío
Cotización]],"MMMM")</f>
        <v>mayo</v>
      </c>
      <c r="D835" s="124">
        <v>44337</v>
      </c>
      <c r="E835" s="174" t="str">
        <f>IF(data[[#This Row],[Estatus de 
Cotización]]="PERDIDO","N/A","")</f>
        <v/>
      </c>
      <c r="F835" s="174"/>
      <c r="G835" s="109"/>
      <c r="H835" s="174"/>
      <c r="I835" s="86">
        <v>164278</v>
      </c>
      <c r="J835" s="106">
        <v>543</v>
      </c>
      <c r="K835" s="110" t="s">
        <v>117</v>
      </c>
      <c r="L835" s="106"/>
      <c r="M835" s="108" t="s">
        <v>1588</v>
      </c>
      <c r="N835" s="106">
        <v>3</v>
      </c>
      <c r="O835" s="107"/>
      <c r="P835" s="107">
        <v>147.99</v>
      </c>
      <c r="Q835" s="28">
        <f>data[[#This Row],[Costo Producto
Proveedor ($/Unid)]]*data[[#This Row],[Cantidad]]</f>
        <v>0</v>
      </c>
      <c r="R835" s="28">
        <f>data[[#This Row],[Cantidad]]*data[[#This Row],[Precio de Venta Cliente ($/Unid)]]</f>
        <v>443.97</v>
      </c>
      <c r="S835" s="29"/>
      <c r="T835" s="109" t="s">
        <v>22</v>
      </c>
      <c r="U835" s="109"/>
      <c r="V835" s="30" t="s">
        <v>46</v>
      </c>
      <c r="W835" s="32" t="s">
        <v>46</v>
      </c>
      <c r="X835" s="106" t="s">
        <v>23</v>
      </c>
      <c r="Y835" s="106" t="s">
        <v>23</v>
      </c>
      <c r="Z835" s="106" t="s">
        <v>50</v>
      </c>
      <c r="AA835" s="109"/>
    </row>
    <row r="836" spans="2:27" s="105" customFormat="1" x14ac:dyDescent="0.25">
      <c r="B836" s="174"/>
      <c r="C836" s="174" t="str">
        <f>TEXT(data[[#This Row],[Fecha de Envío
Cotización]],"MMMM")</f>
        <v>mayo</v>
      </c>
      <c r="D836" s="124">
        <v>44337</v>
      </c>
      <c r="E836" s="174" t="str">
        <f>IF(data[[#This Row],[Estatus de 
Cotización]]="PERDIDO","N/A","")</f>
        <v/>
      </c>
      <c r="F836" s="174"/>
      <c r="G836" s="109"/>
      <c r="H836" s="174"/>
      <c r="I836" s="86">
        <v>164279</v>
      </c>
      <c r="J836" s="106">
        <v>543</v>
      </c>
      <c r="K836" s="110" t="s">
        <v>117</v>
      </c>
      <c r="L836" s="106"/>
      <c r="M836" s="108" t="s">
        <v>1589</v>
      </c>
      <c r="N836" s="106">
        <v>2</v>
      </c>
      <c r="O836" s="107"/>
      <c r="P836" s="107">
        <v>296.76</v>
      </c>
      <c r="Q836" s="28">
        <f>data[[#This Row],[Costo Producto
Proveedor ($/Unid)]]*data[[#This Row],[Cantidad]]</f>
        <v>0</v>
      </c>
      <c r="R836" s="28">
        <f>data[[#This Row],[Cantidad]]*data[[#This Row],[Precio de Venta Cliente ($/Unid)]]</f>
        <v>593.52</v>
      </c>
      <c r="S836" s="29"/>
      <c r="T836" s="109" t="s">
        <v>22</v>
      </c>
      <c r="U836" s="109"/>
      <c r="V836" s="30" t="s">
        <v>46</v>
      </c>
      <c r="W836" s="32" t="s">
        <v>46</v>
      </c>
      <c r="X836" s="106" t="s">
        <v>23</v>
      </c>
      <c r="Y836" s="106" t="s">
        <v>23</v>
      </c>
      <c r="Z836" s="106" t="s">
        <v>50</v>
      </c>
      <c r="AA836" s="109"/>
    </row>
    <row r="837" spans="2:27" s="105" customFormat="1" x14ac:dyDescent="0.25">
      <c r="B837" s="174"/>
      <c r="C837" s="174" t="str">
        <f>TEXT(data[[#This Row],[Fecha de Envío
Cotización]],"MMMM")</f>
        <v>mayo</v>
      </c>
      <c r="D837" s="124">
        <v>44337</v>
      </c>
      <c r="E837" s="174" t="str">
        <f>IF(data[[#This Row],[Estatus de 
Cotización]]="PERDIDO","N/A","")</f>
        <v/>
      </c>
      <c r="F837" s="174"/>
      <c r="G837" s="109"/>
      <c r="H837" s="174"/>
      <c r="I837" s="86">
        <v>121692</v>
      </c>
      <c r="J837" s="106">
        <v>543</v>
      </c>
      <c r="K837" s="110" t="s">
        <v>117</v>
      </c>
      <c r="L837" s="106"/>
      <c r="M837" s="108" t="s">
        <v>1619</v>
      </c>
      <c r="N837" s="106">
        <v>1</v>
      </c>
      <c r="O837" s="107"/>
      <c r="P837" s="107">
        <v>384.02</v>
      </c>
      <c r="Q837" s="28">
        <f>data[[#This Row],[Costo Producto
Proveedor ($/Unid)]]*data[[#This Row],[Cantidad]]</f>
        <v>0</v>
      </c>
      <c r="R837" s="28">
        <f>data[[#This Row],[Cantidad]]*data[[#This Row],[Precio de Venta Cliente ($/Unid)]]</f>
        <v>384.02</v>
      </c>
      <c r="S837" s="29"/>
      <c r="T837" s="109" t="s">
        <v>22</v>
      </c>
      <c r="U837" s="109"/>
      <c r="V837" s="30" t="s">
        <v>46</v>
      </c>
      <c r="W837" s="32" t="s">
        <v>46</v>
      </c>
      <c r="X837" s="106" t="s">
        <v>23</v>
      </c>
      <c r="Y837" s="106" t="s">
        <v>23</v>
      </c>
      <c r="Z837" s="106" t="s">
        <v>50</v>
      </c>
      <c r="AA837" s="109"/>
    </row>
    <row r="838" spans="2:27" s="105" customFormat="1" x14ac:dyDescent="0.25">
      <c r="B838" s="174"/>
      <c r="C838" s="174" t="str">
        <f>TEXT(data[[#This Row],[Fecha de Envío
Cotización]],"MMMM")</f>
        <v>junio</v>
      </c>
      <c r="D838" s="124">
        <v>44348</v>
      </c>
      <c r="E838" s="174" t="str">
        <f>IF(data[[#This Row],[Estatus de 
Cotización]]="PERDIDO","N/A","")</f>
        <v/>
      </c>
      <c r="F838" s="174"/>
      <c r="G838" s="109"/>
      <c r="H838" s="174"/>
      <c r="I838" s="86">
        <v>12190150113</v>
      </c>
      <c r="J838" s="106">
        <v>684</v>
      </c>
      <c r="K838" s="110" t="s">
        <v>283</v>
      </c>
      <c r="L838" s="106"/>
      <c r="M838" s="105" t="s">
        <v>1679</v>
      </c>
      <c r="N838" s="106">
        <v>1</v>
      </c>
      <c r="O838" s="107"/>
      <c r="P838" s="107">
        <v>1202.04</v>
      </c>
      <c r="Q838" s="28">
        <f>data[[#This Row],[Costo Producto
Proveedor ($/Unid)]]*data[[#This Row],[Cantidad]]</f>
        <v>0</v>
      </c>
      <c r="R838" s="28">
        <f>data[[#This Row],[Cantidad]]*data[[#This Row],[Precio de Venta Cliente ($/Unid)]]</f>
        <v>1202.04</v>
      </c>
      <c r="S838" s="29"/>
      <c r="T838" s="109" t="s">
        <v>22</v>
      </c>
      <c r="U838" s="109"/>
      <c r="V838" s="30" t="s">
        <v>46</v>
      </c>
      <c r="W838" s="32" t="s">
        <v>46</v>
      </c>
      <c r="X838" s="106" t="s">
        <v>23</v>
      </c>
      <c r="Y838" s="106" t="s">
        <v>23</v>
      </c>
      <c r="Z838" s="106" t="s">
        <v>50</v>
      </c>
      <c r="AA838" s="109"/>
    </row>
    <row r="839" spans="2:27" s="105" customFormat="1" x14ac:dyDescent="0.25">
      <c r="B839" s="174"/>
      <c r="C839" s="174" t="str">
        <f>TEXT(data[[#This Row],[Fecha de Envío
Cotización]],"MMMM")</f>
        <v>junio</v>
      </c>
      <c r="D839" s="124">
        <v>44354</v>
      </c>
      <c r="E839" s="174" t="str">
        <f>IF(data[[#This Row],[Estatus de 
Cotización]]="PERDIDO","N/A","")</f>
        <v/>
      </c>
      <c r="F839" s="174"/>
      <c r="G839" s="109"/>
      <c r="H839" s="174"/>
      <c r="I839" s="86">
        <v>12190144085</v>
      </c>
      <c r="J839" s="106">
        <v>728</v>
      </c>
      <c r="K839" s="110" t="s">
        <v>283</v>
      </c>
      <c r="L839" s="106"/>
      <c r="M839" s="105" t="s">
        <v>1972</v>
      </c>
      <c r="N839" s="106">
        <v>1</v>
      </c>
      <c r="O839" s="107"/>
      <c r="P839" s="107">
        <v>1493.69</v>
      </c>
      <c r="Q839" s="28">
        <f>data[[#This Row],[Costo Producto
Proveedor ($/Unid)]]*data[[#This Row],[Cantidad]]</f>
        <v>0</v>
      </c>
      <c r="R839" s="28">
        <f>data[[#This Row],[Cantidad]]*data[[#This Row],[Precio de Venta Cliente ($/Unid)]]</f>
        <v>1493.69</v>
      </c>
      <c r="S839" s="29"/>
      <c r="T839" s="109" t="s">
        <v>419</v>
      </c>
      <c r="U839" s="109"/>
      <c r="V839" s="30" t="s">
        <v>46</v>
      </c>
      <c r="W839" s="32" t="s">
        <v>46</v>
      </c>
      <c r="X839" s="106" t="s">
        <v>23</v>
      </c>
      <c r="Y839" s="106" t="s">
        <v>23</v>
      </c>
      <c r="Z839" s="106" t="s">
        <v>50</v>
      </c>
      <c r="AA839" s="109"/>
    </row>
    <row r="840" spans="2:27" s="105" customFormat="1" x14ac:dyDescent="0.25">
      <c r="B840" s="174"/>
      <c r="C840" s="174" t="str">
        <f>TEXT(data[[#This Row],[Fecha de Envío
Cotización]],"MMMM")</f>
        <v>junio</v>
      </c>
      <c r="D840" s="124">
        <v>44354</v>
      </c>
      <c r="E840" s="174" t="str">
        <f>IF(data[[#This Row],[Estatus de 
Cotización]]="PERDIDO","N/A","")</f>
        <v/>
      </c>
      <c r="F840" s="174"/>
      <c r="G840" s="109"/>
      <c r="H840" s="174"/>
      <c r="I840" s="86">
        <v>12190150451</v>
      </c>
      <c r="J840" s="106">
        <v>716</v>
      </c>
      <c r="K840" s="110" t="s">
        <v>283</v>
      </c>
      <c r="L840" s="106"/>
      <c r="M840" s="105" t="s">
        <v>1926</v>
      </c>
      <c r="N840" s="106">
        <v>2</v>
      </c>
      <c r="O840" s="107"/>
      <c r="P840" s="107">
        <v>2060.13</v>
      </c>
      <c r="Q840" s="28">
        <f>data[[#This Row],[Costo Producto
Proveedor ($/Unid)]]*data[[#This Row],[Cantidad]]</f>
        <v>0</v>
      </c>
      <c r="R840" s="28">
        <f>data[[#This Row],[Cantidad]]*data[[#This Row],[Precio de Venta Cliente ($/Unid)]]</f>
        <v>4120.26</v>
      </c>
      <c r="S840" s="29"/>
      <c r="T840" s="109" t="s">
        <v>22</v>
      </c>
      <c r="U840" s="109"/>
      <c r="V840" s="30" t="s">
        <v>46</v>
      </c>
      <c r="W840" s="32" t="s">
        <v>46</v>
      </c>
      <c r="X840" s="106" t="s">
        <v>23</v>
      </c>
      <c r="Y840" s="106" t="s">
        <v>23</v>
      </c>
      <c r="Z840" s="106" t="s">
        <v>50</v>
      </c>
      <c r="AA840" s="109"/>
    </row>
    <row r="841" spans="2:27" s="105" customFormat="1" x14ac:dyDescent="0.25">
      <c r="B841" s="174"/>
      <c r="C841" s="174" t="str">
        <f>TEXT(data[[#This Row],[Fecha de Envío
Cotización]],"MMMM")</f>
        <v>mayo</v>
      </c>
      <c r="D841" s="124">
        <v>44337</v>
      </c>
      <c r="E841" s="174">
        <v>44365</v>
      </c>
      <c r="F841" s="174"/>
      <c r="G841" s="109" t="s">
        <v>2271</v>
      </c>
      <c r="H841" s="174">
        <v>44365</v>
      </c>
      <c r="I841" s="86">
        <v>1290140875</v>
      </c>
      <c r="J841" s="106">
        <v>581</v>
      </c>
      <c r="K841" s="110" t="s">
        <v>283</v>
      </c>
      <c r="L841" s="106"/>
      <c r="M841" s="108" t="s">
        <v>1694</v>
      </c>
      <c r="N841" s="106">
        <v>1</v>
      </c>
      <c r="O841" s="107"/>
      <c r="P841" s="107">
        <v>118.24</v>
      </c>
      <c r="Q841" s="28">
        <f>data[[#This Row],[Costo Producto
Proveedor ($/Unid)]]*data[[#This Row],[Cantidad]]</f>
        <v>0</v>
      </c>
      <c r="R841" s="28">
        <f>data[[#This Row],[Cantidad]]*data[[#This Row],[Precio de Venta Cliente ($/Unid)]]</f>
        <v>118.24</v>
      </c>
      <c r="S841" s="29"/>
      <c r="T841" s="109" t="s">
        <v>51</v>
      </c>
      <c r="U841" s="109"/>
      <c r="V841" s="30" t="s">
        <v>44</v>
      </c>
      <c r="W841" s="32" t="s">
        <v>44</v>
      </c>
      <c r="X841" s="106" t="s">
        <v>503</v>
      </c>
      <c r="Y841" s="106" t="s">
        <v>503</v>
      </c>
      <c r="Z841" s="106" t="s">
        <v>50</v>
      </c>
      <c r="AA841" s="109"/>
    </row>
    <row r="842" spans="2:27" s="105" customFormat="1" x14ac:dyDescent="0.25">
      <c r="B842" s="174"/>
      <c r="C842" s="174" t="str">
        <f>TEXT(data[[#This Row],[Fecha de Envío
Cotización]],"MMMM")</f>
        <v>junio</v>
      </c>
      <c r="D842" s="124">
        <v>44350</v>
      </c>
      <c r="E842" s="174" t="str">
        <f>IF(data[[#This Row],[Estatus de 
Cotización]]="PERDIDO","N/A","")</f>
        <v/>
      </c>
      <c r="F842" s="174"/>
      <c r="G842" s="109"/>
      <c r="H842" s="174"/>
      <c r="I842" s="86" t="s">
        <v>1896</v>
      </c>
      <c r="J842" s="106">
        <v>699</v>
      </c>
      <c r="K842" s="110" t="s">
        <v>283</v>
      </c>
      <c r="L842" s="106"/>
      <c r="M842" s="105" t="s">
        <v>1898</v>
      </c>
      <c r="N842" s="106">
        <v>1</v>
      </c>
      <c r="O842" s="107"/>
      <c r="P842" s="107">
        <v>520.71</v>
      </c>
      <c r="Q842" s="28">
        <f>data[[#This Row],[Costo Producto
Proveedor ($/Unid)]]*data[[#This Row],[Cantidad]]</f>
        <v>0</v>
      </c>
      <c r="R842" s="28">
        <f>data[[#This Row],[Cantidad]]*data[[#This Row],[Precio de Venta Cliente ($/Unid)]]</f>
        <v>520.71</v>
      </c>
      <c r="S842" s="29"/>
      <c r="T842" s="109" t="s">
        <v>36</v>
      </c>
      <c r="U842" s="109"/>
      <c r="V842" s="30" t="s">
        <v>46</v>
      </c>
      <c r="W842" s="32" t="s">
        <v>46</v>
      </c>
      <c r="X842" s="106" t="s">
        <v>23</v>
      </c>
      <c r="Y842" s="106" t="s">
        <v>23</v>
      </c>
      <c r="Z842" s="106" t="s">
        <v>50</v>
      </c>
      <c r="AA842" s="109"/>
    </row>
    <row r="843" spans="2:27" s="105" customFormat="1" x14ac:dyDescent="0.25">
      <c r="B843" s="174"/>
      <c r="C843" s="174" t="str">
        <f>TEXT(data[[#This Row],[Fecha de Envío
Cotización]],"MMMM")</f>
        <v>mayo</v>
      </c>
      <c r="D843" s="124">
        <v>44336</v>
      </c>
      <c r="E843" s="174" t="str">
        <f>IF(data[[#This Row],[Estatus de 
Cotización]]="PERDIDO","N/A","")</f>
        <v/>
      </c>
      <c r="F843" s="174"/>
      <c r="G843" s="109"/>
      <c r="H843" s="174"/>
      <c r="I843" s="86" t="s">
        <v>1598</v>
      </c>
      <c r="J843" s="106">
        <v>529</v>
      </c>
      <c r="K843" s="110" t="s">
        <v>283</v>
      </c>
      <c r="L843" s="106"/>
      <c r="M843" s="108" t="s">
        <v>1600</v>
      </c>
      <c r="N843" s="106">
        <v>5</v>
      </c>
      <c r="O843" s="107"/>
      <c r="P843" s="107">
        <v>491.98</v>
      </c>
      <c r="Q843" s="28">
        <f>data[[#This Row],[Costo Producto
Proveedor ($/Unid)]]*data[[#This Row],[Cantidad]]</f>
        <v>0</v>
      </c>
      <c r="R843" s="28">
        <f>data[[#This Row],[Cantidad]]*data[[#This Row],[Precio de Venta Cliente ($/Unid)]]</f>
        <v>2459.9</v>
      </c>
      <c r="S843" s="29"/>
      <c r="T843" s="109" t="s">
        <v>51</v>
      </c>
      <c r="U843" s="109"/>
      <c r="V843" s="30" t="s">
        <v>46</v>
      </c>
      <c r="W843" s="32" t="s">
        <v>46</v>
      </c>
      <c r="X843" s="106" t="s">
        <v>23</v>
      </c>
      <c r="Y843" s="106" t="s">
        <v>23</v>
      </c>
      <c r="Z843" s="106" t="s">
        <v>50</v>
      </c>
      <c r="AA843" s="109"/>
    </row>
    <row r="844" spans="2:27" s="105" customFormat="1" x14ac:dyDescent="0.25">
      <c r="B844" s="174"/>
      <c r="C844" s="174" t="str">
        <f>TEXT(data[[#This Row],[Fecha de Envío
Cotización]],"MMMM")</f>
        <v>mayo</v>
      </c>
      <c r="D844" s="124">
        <v>44340</v>
      </c>
      <c r="E844" s="174" t="str">
        <f>IF(data[[#This Row],[Estatus de 
Cotización]]="PERDIDO","N/A","")</f>
        <v/>
      </c>
      <c r="F844" s="174"/>
      <c r="G844" s="109"/>
      <c r="H844" s="174"/>
      <c r="I844" s="86">
        <v>7989998</v>
      </c>
      <c r="J844" s="106">
        <v>619</v>
      </c>
      <c r="K844" s="110" t="s">
        <v>33</v>
      </c>
      <c r="L844" s="106"/>
      <c r="M844" s="108" t="s">
        <v>1680</v>
      </c>
      <c r="N844" s="106">
        <v>1</v>
      </c>
      <c r="O844" s="107"/>
      <c r="P844" s="107">
        <v>253.43</v>
      </c>
      <c r="Q844" s="28">
        <f>data[[#This Row],[Costo Producto
Proveedor ($/Unid)]]*data[[#This Row],[Cantidad]]</f>
        <v>0</v>
      </c>
      <c r="R844" s="28">
        <f>data[[#This Row],[Cantidad]]*data[[#This Row],[Precio de Venta Cliente ($/Unid)]]</f>
        <v>253.43</v>
      </c>
      <c r="S844" s="29"/>
      <c r="T844" s="109" t="s">
        <v>36</v>
      </c>
      <c r="U844" s="109"/>
      <c r="V844" s="30" t="s">
        <v>46</v>
      </c>
      <c r="W844" s="32" t="s">
        <v>46</v>
      </c>
      <c r="X844" s="106" t="s">
        <v>23</v>
      </c>
      <c r="Y844" s="106" t="s">
        <v>23</v>
      </c>
      <c r="Z844" s="106" t="s">
        <v>50</v>
      </c>
      <c r="AA844" s="109"/>
    </row>
    <row r="845" spans="2:27" s="105" customFormat="1" x14ac:dyDescent="0.25">
      <c r="B845" s="174"/>
      <c r="C845" s="174" t="str">
        <f>TEXT(data[[#This Row],[Fecha de Envío
Cotización]],"MMMM")</f>
        <v>mayo</v>
      </c>
      <c r="D845" s="124">
        <v>44340</v>
      </c>
      <c r="E845" s="174" t="str">
        <f>IF(data[[#This Row],[Estatus de 
Cotización]]="PERDIDO","N/A","")</f>
        <v/>
      </c>
      <c r="F845" s="174"/>
      <c r="G845" s="109"/>
      <c r="H845" s="174"/>
      <c r="I845" s="86">
        <v>122213</v>
      </c>
      <c r="J845" s="106">
        <v>601</v>
      </c>
      <c r="K845" s="110" t="s">
        <v>1109</v>
      </c>
      <c r="L845" s="106"/>
      <c r="M845" s="108" t="s">
        <v>1681</v>
      </c>
      <c r="N845" s="106">
        <v>2</v>
      </c>
      <c r="O845" s="107"/>
      <c r="P845" s="107">
        <v>97.98</v>
      </c>
      <c r="Q845" s="28">
        <f>data[[#This Row],[Costo Producto
Proveedor ($/Unid)]]*data[[#This Row],[Cantidad]]</f>
        <v>0</v>
      </c>
      <c r="R845" s="28">
        <f>data[[#This Row],[Cantidad]]*data[[#This Row],[Precio de Venta Cliente ($/Unid)]]</f>
        <v>195.96</v>
      </c>
      <c r="S845" s="29"/>
      <c r="T845" s="109" t="s">
        <v>16</v>
      </c>
      <c r="U845" s="109"/>
      <c r="V845" s="30" t="s">
        <v>46</v>
      </c>
      <c r="W845" s="32" t="s">
        <v>46</v>
      </c>
      <c r="X845" s="106" t="s">
        <v>23</v>
      </c>
      <c r="Y845" s="106" t="s">
        <v>23</v>
      </c>
      <c r="Z845" s="106" t="s">
        <v>50</v>
      </c>
      <c r="AA845" s="109"/>
    </row>
    <row r="846" spans="2:27" s="105" customFormat="1" x14ac:dyDescent="0.25">
      <c r="B846" s="174"/>
      <c r="C846" s="174" t="str">
        <f>TEXT(data[[#This Row],[Fecha de Envío
Cotización]],"MMMM")</f>
        <v>mayo</v>
      </c>
      <c r="D846" s="124">
        <v>44340</v>
      </c>
      <c r="E846" s="174" t="str">
        <f>IF(data[[#This Row],[Estatus de 
Cotización]]="PERDIDO","N/A","")</f>
        <v/>
      </c>
      <c r="F846" s="174"/>
      <c r="G846" s="109"/>
      <c r="H846" s="174"/>
      <c r="I846" s="86">
        <v>122214</v>
      </c>
      <c r="J846" s="106">
        <v>601</v>
      </c>
      <c r="K846" s="110" t="s">
        <v>1109</v>
      </c>
      <c r="L846" s="106"/>
      <c r="M846" s="108" t="s">
        <v>1682</v>
      </c>
      <c r="N846" s="106">
        <v>1</v>
      </c>
      <c r="O846" s="107"/>
      <c r="P846" s="107">
        <v>105.84</v>
      </c>
      <c r="Q846" s="28">
        <f>data[[#This Row],[Costo Producto
Proveedor ($/Unid)]]*data[[#This Row],[Cantidad]]</f>
        <v>0</v>
      </c>
      <c r="R846" s="28">
        <f>data[[#This Row],[Cantidad]]*data[[#This Row],[Precio de Venta Cliente ($/Unid)]]</f>
        <v>105.84</v>
      </c>
      <c r="S846" s="29"/>
      <c r="T846" s="109" t="s">
        <v>16</v>
      </c>
      <c r="U846" s="109"/>
      <c r="V846" s="30" t="s">
        <v>46</v>
      </c>
      <c r="W846" s="32" t="s">
        <v>46</v>
      </c>
      <c r="X846" s="106" t="s">
        <v>23</v>
      </c>
      <c r="Y846" s="106" t="s">
        <v>23</v>
      </c>
      <c r="Z846" s="106" t="s">
        <v>50</v>
      </c>
      <c r="AA846" s="109"/>
    </row>
    <row r="847" spans="2:27" s="105" customFormat="1" x14ac:dyDescent="0.25">
      <c r="B847" s="174"/>
      <c r="C847" s="174" t="str">
        <f>TEXT(data[[#This Row],[Fecha de Envío
Cotización]],"MMMM")</f>
        <v>mayo</v>
      </c>
      <c r="D847" s="124">
        <v>44340</v>
      </c>
      <c r="E847" s="174" t="str">
        <f>IF(data[[#This Row],[Estatus de 
Cotización]]="PERDIDO","N/A","")</f>
        <v/>
      </c>
      <c r="F847" s="174"/>
      <c r="G847" s="109"/>
      <c r="H847" s="174"/>
      <c r="I847" s="86" t="s">
        <v>1691</v>
      </c>
      <c r="J847" s="106">
        <v>584</v>
      </c>
      <c r="K847" s="110" t="s">
        <v>1690</v>
      </c>
      <c r="L847" s="106"/>
      <c r="M847" s="108" t="s">
        <v>1692</v>
      </c>
      <c r="N847" s="106">
        <v>2</v>
      </c>
      <c r="O847" s="107"/>
      <c r="P847" s="107">
        <v>1707.75</v>
      </c>
      <c r="Q847" s="28">
        <f>data[[#This Row],[Costo Producto
Proveedor ($/Unid)]]*data[[#This Row],[Cantidad]]</f>
        <v>0</v>
      </c>
      <c r="R847" s="28">
        <f>data[[#This Row],[Cantidad]]*data[[#This Row],[Precio de Venta Cliente ($/Unid)]]</f>
        <v>3415.5</v>
      </c>
      <c r="S847" s="29"/>
      <c r="T847" s="109" t="s">
        <v>36</v>
      </c>
      <c r="U847" s="109"/>
      <c r="V847" s="30" t="s">
        <v>46</v>
      </c>
      <c r="W847" s="32" t="s">
        <v>46</v>
      </c>
      <c r="X847" s="106" t="s">
        <v>23</v>
      </c>
      <c r="Y847" s="106" t="s">
        <v>23</v>
      </c>
      <c r="Z847" s="106" t="s">
        <v>50</v>
      </c>
      <c r="AA847" s="109"/>
    </row>
    <row r="848" spans="2:27" s="105" customFormat="1" x14ac:dyDescent="0.25">
      <c r="B848" s="174"/>
      <c r="C848" s="174" t="str">
        <f>TEXT(data[[#This Row],[Fecha de Envío
Cotización]],"MMMM")</f>
        <v>junio</v>
      </c>
      <c r="D848" s="124">
        <v>44357</v>
      </c>
      <c r="E848" s="174" t="str">
        <f>IF(data[[#This Row],[Estatus de 
Cotización]]="PERDIDO","N/A","")</f>
        <v/>
      </c>
      <c r="F848" s="174"/>
      <c r="G848" s="109"/>
      <c r="H848" s="174"/>
      <c r="I848" s="86">
        <v>8102121187</v>
      </c>
      <c r="J848" s="106">
        <v>759</v>
      </c>
      <c r="K848" s="110" t="s">
        <v>283</v>
      </c>
      <c r="L848" s="106"/>
      <c r="M848" s="105" t="s">
        <v>2042</v>
      </c>
      <c r="N848" s="106">
        <v>1</v>
      </c>
      <c r="O848" s="107"/>
      <c r="P848" s="107">
        <v>7682.46</v>
      </c>
      <c r="Q848" s="28">
        <f>data[[#This Row],[Costo Producto
Proveedor ($/Unid)]]*data[[#This Row],[Cantidad]]</f>
        <v>0</v>
      </c>
      <c r="R848" s="28">
        <f>data[[#This Row],[Cantidad]]*data[[#This Row],[Precio de Venta Cliente ($/Unid)]]</f>
        <v>7682.46</v>
      </c>
      <c r="S848" s="29"/>
      <c r="T848" s="109" t="s">
        <v>2039</v>
      </c>
      <c r="U848" s="109"/>
      <c r="V848" s="30" t="s">
        <v>46</v>
      </c>
      <c r="W848" s="32" t="s">
        <v>46</v>
      </c>
      <c r="X848" s="106" t="s">
        <v>503</v>
      </c>
      <c r="Y848" s="106" t="s">
        <v>503</v>
      </c>
      <c r="Z848" s="106" t="s">
        <v>50</v>
      </c>
      <c r="AA848" s="109"/>
    </row>
    <row r="849" spans="2:27" s="105" customFormat="1" x14ac:dyDescent="0.25">
      <c r="B849" s="174"/>
      <c r="C849" s="174" t="str">
        <f>TEXT(data[[#This Row],[Fecha de Envío
Cotización]],"MMMM")</f>
        <v>mayo</v>
      </c>
      <c r="D849" s="124">
        <v>44342</v>
      </c>
      <c r="E849" s="174" t="str">
        <f>IF(data[[#This Row],[Estatus de 
Cotización]]="PERDIDO","N/A","")</f>
        <v/>
      </c>
      <c r="F849" s="174"/>
      <c r="G849" s="109"/>
      <c r="H849" s="174"/>
      <c r="I849" s="86" t="s">
        <v>1702</v>
      </c>
      <c r="J849" s="106">
        <v>649</v>
      </c>
      <c r="K849" s="110" t="s">
        <v>125</v>
      </c>
      <c r="L849" s="106"/>
      <c r="M849" s="108" t="s">
        <v>1703</v>
      </c>
      <c r="N849" s="106">
        <v>1</v>
      </c>
      <c r="O849" s="107"/>
      <c r="P849" s="107">
        <v>2337.5</v>
      </c>
      <c r="Q849" s="28">
        <f>data[[#This Row],[Costo Producto
Proveedor ($/Unid)]]*data[[#This Row],[Cantidad]]</f>
        <v>0</v>
      </c>
      <c r="R849" s="28">
        <f>data[[#This Row],[Cantidad]]*data[[#This Row],[Precio de Venta Cliente ($/Unid)]]</f>
        <v>2337.5</v>
      </c>
      <c r="S849" s="29"/>
      <c r="T849" s="109" t="s">
        <v>36</v>
      </c>
      <c r="U849" s="109"/>
      <c r="V849" s="30" t="s">
        <v>46</v>
      </c>
      <c r="W849" s="32" t="s">
        <v>46</v>
      </c>
      <c r="X849" s="106" t="s">
        <v>23</v>
      </c>
      <c r="Y849" s="106" t="s">
        <v>23</v>
      </c>
      <c r="Z849" s="106" t="s">
        <v>50</v>
      </c>
      <c r="AA849" s="109"/>
    </row>
    <row r="850" spans="2:27" s="105" customFormat="1" x14ac:dyDescent="0.25">
      <c r="B850" s="174"/>
      <c r="C850" s="174" t="str">
        <f>TEXT(data[[#This Row],[Fecha de Envío
Cotización]],"MMMM")</f>
        <v>mayo</v>
      </c>
      <c r="D850" s="124">
        <v>44343</v>
      </c>
      <c r="E850" s="174" t="str">
        <f>IF(data[[#This Row],[Estatus de 
Cotización]]="PERDIDO","N/A","")</f>
        <v/>
      </c>
      <c r="F850" s="174"/>
      <c r="G850" s="109"/>
      <c r="H850" s="174"/>
      <c r="I850" s="86">
        <v>7550339</v>
      </c>
      <c r="J850" s="106">
        <v>652</v>
      </c>
      <c r="K850" s="110" t="s">
        <v>33</v>
      </c>
      <c r="L850" s="106"/>
      <c r="M850" s="108" t="s">
        <v>1719</v>
      </c>
      <c r="N850" s="106">
        <v>6</v>
      </c>
      <c r="O850" s="107"/>
      <c r="P850" s="107">
        <v>151.19999999999999</v>
      </c>
      <c r="Q850" s="28">
        <f>data[[#This Row],[Costo Producto
Proveedor ($/Unid)]]*data[[#This Row],[Cantidad]]</f>
        <v>0</v>
      </c>
      <c r="R850" s="28">
        <f>data[[#This Row],[Cantidad]]*data[[#This Row],[Precio de Venta Cliente ($/Unid)]]</f>
        <v>907.19999999999993</v>
      </c>
      <c r="S850" s="29"/>
      <c r="T850" s="109" t="s">
        <v>22</v>
      </c>
      <c r="U850" s="109"/>
      <c r="V850" s="30" t="s">
        <v>46</v>
      </c>
      <c r="W850" s="32" t="s">
        <v>46</v>
      </c>
      <c r="X850" s="106" t="s">
        <v>23</v>
      </c>
      <c r="Y850" s="106" t="s">
        <v>23</v>
      </c>
      <c r="Z850" s="106" t="s">
        <v>50</v>
      </c>
      <c r="AA850" s="109"/>
    </row>
    <row r="851" spans="2:27" s="105" customFormat="1" x14ac:dyDescent="0.25">
      <c r="B851" s="174"/>
      <c r="C851" s="174" t="str">
        <f>TEXT(data[[#This Row],[Fecha de Envío
Cotización]],"MMMM")</f>
        <v>mayo</v>
      </c>
      <c r="D851" s="124">
        <v>44343</v>
      </c>
      <c r="E851" s="174" t="str">
        <f>IF(data[[#This Row],[Estatus de 
Cotización]]="PERDIDO","N/A","")</f>
        <v/>
      </c>
      <c r="F851" s="174"/>
      <c r="G851" s="109"/>
      <c r="H851" s="174"/>
      <c r="I851" s="86">
        <v>7550337</v>
      </c>
      <c r="J851" s="106">
        <v>652</v>
      </c>
      <c r="K851" s="110" t="s">
        <v>33</v>
      </c>
      <c r="L851" s="106"/>
      <c r="M851" s="108" t="s">
        <v>1720</v>
      </c>
      <c r="N851" s="106">
        <v>6</v>
      </c>
      <c r="O851" s="107"/>
      <c r="P851" s="107">
        <v>32.04</v>
      </c>
      <c r="Q851" s="28">
        <f>data[[#This Row],[Costo Producto
Proveedor ($/Unid)]]*data[[#This Row],[Cantidad]]</f>
        <v>0</v>
      </c>
      <c r="R851" s="28">
        <f>data[[#This Row],[Cantidad]]*data[[#This Row],[Precio de Venta Cliente ($/Unid)]]</f>
        <v>192.24</v>
      </c>
      <c r="S851" s="29"/>
      <c r="T851" s="109" t="s">
        <v>22</v>
      </c>
      <c r="U851" s="109"/>
      <c r="V851" s="30" t="s">
        <v>46</v>
      </c>
      <c r="W851" s="32" t="s">
        <v>46</v>
      </c>
      <c r="X851" s="106" t="s">
        <v>23</v>
      </c>
      <c r="Y851" s="106" t="s">
        <v>23</v>
      </c>
      <c r="Z851" s="106" t="s">
        <v>50</v>
      </c>
      <c r="AA851" s="109"/>
    </row>
    <row r="852" spans="2:27" s="105" customFormat="1" x14ac:dyDescent="0.25">
      <c r="B852" s="174"/>
      <c r="C852" s="174" t="str">
        <f>TEXT(data[[#This Row],[Fecha de Envío
Cotización]],"MMMM")</f>
        <v>mayo</v>
      </c>
      <c r="D852" s="124">
        <v>44343</v>
      </c>
      <c r="E852" s="174" t="str">
        <f>IF(data[[#This Row],[Estatus de 
Cotización]]="PERDIDO","N/A","")</f>
        <v/>
      </c>
      <c r="F852" s="174"/>
      <c r="G852" s="109"/>
      <c r="H852" s="174"/>
      <c r="I852" s="86">
        <v>7550313</v>
      </c>
      <c r="J852" s="106">
        <v>652</v>
      </c>
      <c r="K852" s="110" t="s">
        <v>33</v>
      </c>
      <c r="L852" s="106"/>
      <c r="M852" s="108" t="s">
        <v>1721</v>
      </c>
      <c r="N852" s="106">
        <v>2</v>
      </c>
      <c r="O852" s="107"/>
      <c r="P852" s="107">
        <v>28.78</v>
      </c>
      <c r="Q852" s="28">
        <f>data[[#This Row],[Costo Producto
Proveedor ($/Unid)]]*data[[#This Row],[Cantidad]]</f>
        <v>0</v>
      </c>
      <c r="R852" s="28">
        <f>data[[#This Row],[Cantidad]]*data[[#This Row],[Precio de Venta Cliente ($/Unid)]]</f>
        <v>57.56</v>
      </c>
      <c r="S852" s="29"/>
      <c r="T852" s="109" t="s">
        <v>22</v>
      </c>
      <c r="U852" s="109"/>
      <c r="V852" s="30" t="s">
        <v>46</v>
      </c>
      <c r="W852" s="32" t="s">
        <v>46</v>
      </c>
      <c r="X852" s="106" t="s">
        <v>23</v>
      </c>
      <c r="Y852" s="106" t="s">
        <v>23</v>
      </c>
      <c r="Z852" s="106" t="s">
        <v>50</v>
      </c>
      <c r="AA852" s="109"/>
    </row>
    <row r="853" spans="2:27" s="105" customFormat="1" x14ac:dyDescent="0.25">
      <c r="B853" s="174"/>
      <c r="C853" s="174" t="str">
        <f>TEXT(data[[#This Row],[Fecha de Envío
Cotización]],"MMMM")</f>
        <v>mayo</v>
      </c>
      <c r="D853" s="124">
        <v>44343</v>
      </c>
      <c r="E853" s="174" t="str">
        <f>IF(data[[#This Row],[Estatus de 
Cotización]]="PERDIDO","N/A","")</f>
        <v/>
      </c>
      <c r="F853" s="174"/>
      <c r="G853" s="109"/>
      <c r="H853" s="174"/>
      <c r="I853" s="86">
        <v>7441343</v>
      </c>
      <c r="J853" s="106">
        <v>652</v>
      </c>
      <c r="K853" s="110" t="s">
        <v>33</v>
      </c>
      <c r="L853" s="106"/>
      <c r="M853" s="108" t="s">
        <v>1722</v>
      </c>
      <c r="N853" s="106">
        <v>2</v>
      </c>
      <c r="O853" s="107"/>
      <c r="P853" s="107">
        <v>99.58</v>
      </c>
      <c r="Q853" s="28">
        <f>data[[#This Row],[Costo Producto
Proveedor ($/Unid)]]*data[[#This Row],[Cantidad]]</f>
        <v>0</v>
      </c>
      <c r="R853" s="28">
        <f>data[[#This Row],[Cantidad]]*data[[#This Row],[Precio de Venta Cliente ($/Unid)]]</f>
        <v>199.16</v>
      </c>
      <c r="S853" s="29"/>
      <c r="T853" s="109" t="s">
        <v>22</v>
      </c>
      <c r="U853" s="109"/>
      <c r="V853" s="30" t="s">
        <v>46</v>
      </c>
      <c r="W853" s="32" t="s">
        <v>46</v>
      </c>
      <c r="X853" s="106" t="s">
        <v>23</v>
      </c>
      <c r="Y853" s="106" t="s">
        <v>23</v>
      </c>
      <c r="Z853" s="106" t="s">
        <v>50</v>
      </c>
      <c r="AA853" s="109"/>
    </row>
    <row r="854" spans="2:27" s="105" customFormat="1" x14ac:dyDescent="0.25">
      <c r="B854" s="174"/>
      <c r="C854" s="174" t="str">
        <f>TEXT(data[[#This Row],[Fecha de Envío
Cotización]],"MMMM")</f>
        <v>mayo</v>
      </c>
      <c r="D854" s="124">
        <v>44343</v>
      </c>
      <c r="E854" s="174" t="str">
        <f>IF(data[[#This Row],[Estatus de 
Cotización]]="PERDIDO","N/A","")</f>
        <v/>
      </c>
      <c r="F854" s="174"/>
      <c r="G854" s="109"/>
      <c r="H854" s="174"/>
      <c r="I854" s="86">
        <v>7300515</v>
      </c>
      <c r="J854" s="106">
        <v>652</v>
      </c>
      <c r="K854" s="110" t="s">
        <v>33</v>
      </c>
      <c r="L854" s="106"/>
      <c r="M854" s="108" t="s">
        <v>1723</v>
      </c>
      <c r="N854" s="106">
        <v>2</v>
      </c>
      <c r="O854" s="107"/>
      <c r="P854" s="107">
        <v>131.61000000000001</v>
      </c>
      <c r="Q854" s="28">
        <f>data[[#This Row],[Costo Producto
Proveedor ($/Unid)]]*data[[#This Row],[Cantidad]]</f>
        <v>0</v>
      </c>
      <c r="R854" s="28">
        <f>data[[#This Row],[Cantidad]]*data[[#This Row],[Precio de Venta Cliente ($/Unid)]]</f>
        <v>263.22000000000003</v>
      </c>
      <c r="S854" s="29"/>
      <c r="T854" s="109" t="s">
        <v>22</v>
      </c>
      <c r="U854" s="109"/>
      <c r="V854" s="30" t="s">
        <v>46</v>
      </c>
      <c r="W854" s="32" t="s">
        <v>46</v>
      </c>
      <c r="X854" s="106" t="s">
        <v>23</v>
      </c>
      <c r="Y854" s="106" t="s">
        <v>23</v>
      </c>
      <c r="Z854" s="106" t="s">
        <v>50</v>
      </c>
      <c r="AA854" s="109"/>
    </row>
    <row r="855" spans="2:27" s="105" customFormat="1" x14ac:dyDescent="0.25">
      <c r="B855" s="174"/>
      <c r="C855" s="174" t="str">
        <f>TEXT(data[[#This Row],[Fecha de Envío
Cotización]],"MMMM")</f>
        <v>mayo</v>
      </c>
      <c r="D855" s="124">
        <v>44343</v>
      </c>
      <c r="E855" s="174" t="str">
        <f>IF(data[[#This Row],[Estatus de 
Cotización]]="PERDIDO","N/A","")</f>
        <v/>
      </c>
      <c r="F855" s="174"/>
      <c r="G855" s="109"/>
      <c r="H855" s="174"/>
      <c r="I855" s="86">
        <v>7370204</v>
      </c>
      <c r="J855" s="106">
        <v>652</v>
      </c>
      <c r="K855" s="110" t="s">
        <v>33</v>
      </c>
      <c r="L855" s="106"/>
      <c r="M855" s="108" t="s">
        <v>1724</v>
      </c>
      <c r="N855" s="106">
        <v>1</v>
      </c>
      <c r="O855" s="107"/>
      <c r="P855" s="107">
        <v>156.1</v>
      </c>
      <c r="Q855" s="28">
        <f>data[[#This Row],[Costo Producto
Proveedor ($/Unid)]]*data[[#This Row],[Cantidad]]</f>
        <v>0</v>
      </c>
      <c r="R855" s="28">
        <f>data[[#This Row],[Cantidad]]*data[[#This Row],[Precio de Venta Cliente ($/Unid)]]</f>
        <v>156.1</v>
      </c>
      <c r="S855" s="29"/>
      <c r="T855" s="109" t="s">
        <v>22</v>
      </c>
      <c r="U855" s="109"/>
      <c r="V855" s="30" t="s">
        <v>46</v>
      </c>
      <c r="W855" s="32" t="s">
        <v>46</v>
      </c>
      <c r="X855" s="106" t="s">
        <v>23</v>
      </c>
      <c r="Y855" s="106" t="s">
        <v>23</v>
      </c>
      <c r="Z855" s="106" t="s">
        <v>50</v>
      </c>
      <c r="AA855" s="109"/>
    </row>
    <row r="856" spans="2:27" s="105" customFormat="1" x14ac:dyDescent="0.25">
      <c r="B856" s="174"/>
      <c r="C856" s="174" t="str">
        <f>TEXT(data[[#This Row],[Fecha de Envío
Cotización]],"MMMM")</f>
        <v>mayo</v>
      </c>
      <c r="D856" s="124">
        <v>44343</v>
      </c>
      <c r="E856" s="174" t="str">
        <f>IF(data[[#This Row],[Estatus de 
Cotización]]="PERDIDO","N/A","")</f>
        <v/>
      </c>
      <c r="F856" s="174"/>
      <c r="G856" s="109"/>
      <c r="H856" s="174"/>
      <c r="I856" s="86">
        <v>7305171</v>
      </c>
      <c r="J856" s="106">
        <v>652</v>
      </c>
      <c r="K856" s="110" t="s">
        <v>33</v>
      </c>
      <c r="L856" s="106"/>
      <c r="M856" s="108" t="s">
        <v>1725</v>
      </c>
      <c r="N856" s="106">
        <v>1</v>
      </c>
      <c r="O856" s="107"/>
      <c r="P856" s="107">
        <v>156.1</v>
      </c>
      <c r="Q856" s="28">
        <f>data[[#This Row],[Costo Producto
Proveedor ($/Unid)]]*data[[#This Row],[Cantidad]]</f>
        <v>0</v>
      </c>
      <c r="R856" s="28">
        <f>data[[#This Row],[Cantidad]]*data[[#This Row],[Precio de Venta Cliente ($/Unid)]]</f>
        <v>156.1</v>
      </c>
      <c r="S856" s="29"/>
      <c r="T856" s="109" t="s">
        <v>22</v>
      </c>
      <c r="U856" s="109"/>
      <c r="V856" s="30" t="s">
        <v>46</v>
      </c>
      <c r="W856" s="32" t="s">
        <v>46</v>
      </c>
      <c r="X856" s="106" t="s">
        <v>23</v>
      </c>
      <c r="Y856" s="106" t="s">
        <v>23</v>
      </c>
      <c r="Z856" s="106" t="s">
        <v>50</v>
      </c>
      <c r="AA856" s="109"/>
    </row>
    <row r="857" spans="2:27" s="105" customFormat="1" x14ac:dyDescent="0.25">
      <c r="B857" s="174"/>
      <c r="C857" s="174" t="str">
        <f>TEXT(data[[#This Row],[Fecha de Envío
Cotización]],"MMMM")</f>
        <v>mayo</v>
      </c>
      <c r="D857" s="124">
        <v>44343</v>
      </c>
      <c r="E857" s="174" t="str">
        <f>IF(data[[#This Row],[Estatus de 
Cotización]]="PERDIDO","N/A","")</f>
        <v/>
      </c>
      <c r="F857" s="174"/>
      <c r="G857" s="109"/>
      <c r="H857" s="174"/>
      <c r="I857" s="86">
        <v>7370301</v>
      </c>
      <c r="J857" s="106">
        <v>652</v>
      </c>
      <c r="K857" s="110" t="s">
        <v>33</v>
      </c>
      <c r="L857" s="106"/>
      <c r="M857" s="108" t="s">
        <v>1726</v>
      </c>
      <c r="N857" s="106">
        <v>1</v>
      </c>
      <c r="O857" s="107"/>
      <c r="P857" s="107">
        <v>387.88</v>
      </c>
      <c r="Q857" s="28">
        <f>data[[#This Row],[Costo Producto
Proveedor ($/Unid)]]*data[[#This Row],[Cantidad]]</f>
        <v>0</v>
      </c>
      <c r="R857" s="28">
        <f>data[[#This Row],[Cantidad]]*data[[#This Row],[Precio de Venta Cliente ($/Unid)]]</f>
        <v>387.88</v>
      </c>
      <c r="S857" s="29"/>
      <c r="T857" s="109" t="s">
        <v>22</v>
      </c>
      <c r="U857" s="109"/>
      <c r="V857" s="30" t="s">
        <v>46</v>
      </c>
      <c r="W857" s="32" t="s">
        <v>46</v>
      </c>
      <c r="X857" s="106" t="s">
        <v>23</v>
      </c>
      <c r="Y857" s="106" t="s">
        <v>23</v>
      </c>
      <c r="Z857" s="106" t="s">
        <v>50</v>
      </c>
      <c r="AA857" s="109"/>
    </row>
    <row r="858" spans="2:27" s="105" customFormat="1" x14ac:dyDescent="0.25">
      <c r="B858" s="174"/>
      <c r="C858" s="174" t="str">
        <f>TEXT(data[[#This Row],[Fecha de Envío
Cotización]],"MMMM")</f>
        <v>mayo</v>
      </c>
      <c r="D858" s="124">
        <v>44343</v>
      </c>
      <c r="E858" s="130">
        <v>44349</v>
      </c>
      <c r="F858" s="174"/>
      <c r="G858" s="109">
        <v>3210891</v>
      </c>
      <c r="H858" s="174">
        <v>44349</v>
      </c>
      <c r="I858" s="86">
        <v>7360244</v>
      </c>
      <c r="J858" s="106">
        <v>652</v>
      </c>
      <c r="K858" s="110" t="s">
        <v>33</v>
      </c>
      <c r="L858" s="106"/>
      <c r="M858" s="108" t="s">
        <v>1727</v>
      </c>
      <c r="N858" s="106">
        <v>6</v>
      </c>
      <c r="O858" s="107"/>
      <c r="P858" s="107">
        <v>17.350000000000001</v>
      </c>
      <c r="Q858" s="28">
        <f>data[[#This Row],[Costo Producto
Proveedor ($/Unid)]]*data[[#This Row],[Cantidad]]</f>
        <v>0</v>
      </c>
      <c r="R858" s="28">
        <f>data[[#This Row],[Cantidad]]*data[[#This Row],[Precio de Venta Cliente ($/Unid)]]</f>
        <v>104.10000000000001</v>
      </c>
      <c r="S858" s="29"/>
      <c r="T858" s="109" t="s">
        <v>22</v>
      </c>
      <c r="U858" s="109"/>
      <c r="V858" s="30" t="s">
        <v>44</v>
      </c>
      <c r="W858" s="32" t="s">
        <v>44</v>
      </c>
      <c r="X858" s="106" t="s">
        <v>23</v>
      </c>
      <c r="Y858" s="106" t="s">
        <v>23</v>
      </c>
      <c r="Z858" s="106" t="s">
        <v>50</v>
      </c>
      <c r="AA858" s="109"/>
    </row>
    <row r="859" spans="2:27" s="105" customFormat="1" x14ac:dyDescent="0.25">
      <c r="B859" s="174"/>
      <c r="C859" s="174" t="str">
        <f>TEXT(data[[#This Row],[Fecha de Envío
Cotización]],"MMMM")</f>
        <v>mayo</v>
      </c>
      <c r="D859" s="124">
        <v>44343</v>
      </c>
      <c r="E859" s="130">
        <v>44349</v>
      </c>
      <c r="F859" s="174"/>
      <c r="G859" s="109">
        <v>3210891</v>
      </c>
      <c r="H859" s="174">
        <v>44349</v>
      </c>
      <c r="I859" s="86">
        <v>7360233</v>
      </c>
      <c r="J859" s="106">
        <v>652</v>
      </c>
      <c r="K859" s="110" t="s">
        <v>33</v>
      </c>
      <c r="L859" s="106"/>
      <c r="M859" s="108" t="s">
        <v>1728</v>
      </c>
      <c r="N859" s="106">
        <v>6</v>
      </c>
      <c r="O859" s="107"/>
      <c r="P859" s="107">
        <v>17.350000000000001</v>
      </c>
      <c r="Q859" s="28">
        <f>data[[#This Row],[Costo Producto
Proveedor ($/Unid)]]*data[[#This Row],[Cantidad]]</f>
        <v>0</v>
      </c>
      <c r="R859" s="28">
        <f>data[[#This Row],[Cantidad]]*data[[#This Row],[Precio de Venta Cliente ($/Unid)]]</f>
        <v>104.10000000000001</v>
      </c>
      <c r="S859" s="29"/>
      <c r="T859" s="109" t="s">
        <v>22</v>
      </c>
      <c r="U859" s="109"/>
      <c r="V859" s="30" t="s">
        <v>44</v>
      </c>
      <c r="W859" s="32" t="s">
        <v>44</v>
      </c>
      <c r="X859" s="106" t="s">
        <v>23</v>
      </c>
      <c r="Y859" s="106" t="s">
        <v>23</v>
      </c>
      <c r="Z859" s="106" t="s">
        <v>50</v>
      </c>
      <c r="AA859" s="109" t="s">
        <v>1888</v>
      </c>
    </row>
    <row r="860" spans="2:27" s="105" customFormat="1" x14ac:dyDescent="0.25">
      <c r="B860" s="174"/>
      <c r="C860" s="174" t="str">
        <f>TEXT(data[[#This Row],[Fecha de Envío
Cotización]],"MMMM")</f>
        <v>mayo</v>
      </c>
      <c r="D860" s="124">
        <v>44343</v>
      </c>
      <c r="E860" s="130">
        <v>44349</v>
      </c>
      <c r="F860" s="174"/>
      <c r="G860" s="109">
        <v>3210891</v>
      </c>
      <c r="H860" s="174">
        <v>44349</v>
      </c>
      <c r="I860" s="86">
        <v>7390007</v>
      </c>
      <c r="J860" s="106">
        <v>652</v>
      </c>
      <c r="K860" s="110" t="s">
        <v>33</v>
      </c>
      <c r="L860" s="106"/>
      <c r="M860" s="108" t="s">
        <v>1729</v>
      </c>
      <c r="N860" s="106">
        <v>6</v>
      </c>
      <c r="O860" s="107"/>
      <c r="P860" s="107">
        <v>28.78</v>
      </c>
      <c r="Q860" s="28">
        <f>data[[#This Row],[Costo Producto
Proveedor ($/Unid)]]*data[[#This Row],[Cantidad]]</f>
        <v>0</v>
      </c>
      <c r="R860" s="28">
        <f>data[[#This Row],[Cantidad]]*data[[#This Row],[Precio de Venta Cliente ($/Unid)]]</f>
        <v>172.68</v>
      </c>
      <c r="S860" s="29"/>
      <c r="T860" s="109" t="s">
        <v>22</v>
      </c>
      <c r="U860" s="109"/>
      <c r="V860" s="30" t="s">
        <v>44</v>
      </c>
      <c r="W860" s="32" t="s">
        <v>44</v>
      </c>
      <c r="X860" s="106" t="s">
        <v>23</v>
      </c>
      <c r="Y860" s="106" t="s">
        <v>23</v>
      </c>
      <c r="Z860" s="106" t="s">
        <v>50</v>
      </c>
      <c r="AA860" s="109"/>
    </row>
    <row r="861" spans="2:27" s="105" customFormat="1" x14ac:dyDescent="0.25">
      <c r="B861" s="174"/>
      <c r="C861" s="174" t="str">
        <f>TEXT(data[[#This Row],[Fecha de Envío
Cotización]],"MMMM")</f>
        <v>mayo</v>
      </c>
      <c r="D861" s="124">
        <v>44343</v>
      </c>
      <c r="E861" s="174" t="str">
        <f>IF(data[[#This Row],[Estatus de 
Cotización]]="PERDIDO","N/A","")</f>
        <v/>
      </c>
      <c r="F861" s="174"/>
      <c r="G861" s="109"/>
      <c r="H861" s="174"/>
      <c r="I861" s="86">
        <v>7360202</v>
      </c>
      <c r="J861" s="106">
        <v>652</v>
      </c>
      <c r="K861" s="110" t="s">
        <v>33</v>
      </c>
      <c r="L861" s="106"/>
      <c r="M861" s="108" t="s">
        <v>1730</v>
      </c>
      <c r="N861" s="106">
        <v>3</v>
      </c>
      <c r="O861" s="107"/>
      <c r="P861" s="107">
        <v>20.62</v>
      </c>
      <c r="Q861" s="28">
        <f>data[[#This Row],[Costo Producto
Proveedor ($/Unid)]]*data[[#This Row],[Cantidad]]</f>
        <v>0</v>
      </c>
      <c r="R861" s="28">
        <f>data[[#This Row],[Cantidad]]*data[[#This Row],[Precio de Venta Cliente ($/Unid)]]</f>
        <v>61.86</v>
      </c>
      <c r="S861" s="29"/>
      <c r="T861" s="109" t="s">
        <v>22</v>
      </c>
      <c r="U861" s="109"/>
      <c r="V861" s="30" t="s">
        <v>46</v>
      </c>
      <c r="W861" s="32" t="s">
        <v>46</v>
      </c>
      <c r="X861" s="106" t="s">
        <v>23</v>
      </c>
      <c r="Y861" s="106" t="s">
        <v>23</v>
      </c>
      <c r="Z861" s="106" t="s">
        <v>50</v>
      </c>
      <c r="AA861" s="109"/>
    </row>
    <row r="862" spans="2:27" s="105" customFormat="1" x14ac:dyDescent="0.25">
      <c r="B862" s="174"/>
      <c r="C862" s="174" t="str">
        <f>TEXT(data[[#This Row],[Fecha de Envío
Cotización]],"MMMM")</f>
        <v>mayo</v>
      </c>
      <c r="D862" s="124">
        <v>44343</v>
      </c>
      <c r="E862" s="174" t="str">
        <f>IF(data[[#This Row],[Estatus de 
Cotización]]="PERDIDO","N/A","")</f>
        <v/>
      </c>
      <c r="F862" s="174"/>
      <c r="G862" s="109"/>
      <c r="H862" s="174"/>
      <c r="I862" s="86">
        <v>7600204</v>
      </c>
      <c r="J862" s="106">
        <v>652</v>
      </c>
      <c r="K862" s="110" t="s">
        <v>33</v>
      </c>
      <c r="L862" s="106"/>
      <c r="M862" s="108" t="s">
        <v>1731</v>
      </c>
      <c r="N862" s="106">
        <v>2</v>
      </c>
      <c r="O862" s="107"/>
      <c r="P862" s="107">
        <v>28.78</v>
      </c>
      <c r="Q862" s="28">
        <f>data[[#This Row],[Costo Producto
Proveedor ($/Unid)]]*data[[#This Row],[Cantidad]]</f>
        <v>0</v>
      </c>
      <c r="R862" s="28">
        <f>data[[#This Row],[Cantidad]]*data[[#This Row],[Precio de Venta Cliente ($/Unid)]]</f>
        <v>57.56</v>
      </c>
      <c r="S862" s="29"/>
      <c r="T862" s="109" t="s">
        <v>22</v>
      </c>
      <c r="U862" s="109"/>
      <c r="V862" s="30" t="s">
        <v>46</v>
      </c>
      <c r="W862" s="32" t="s">
        <v>46</v>
      </c>
      <c r="X862" s="106" t="s">
        <v>23</v>
      </c>
      <c r="Y862" s="106" t="s">
        <v>23</v>
      </c>
      <c r="Z862" s="106" t="s">
        <v>50</v>
      </c>
      <c r="AA862" s="109"/>
    </row>
    <row r="863" spans="2:27" s="105" customFormat="1" x14ac:dyDescent="0.25">
      <c r="B863" s="174"/>
      <c r="C863" s="174" t="str">
        <f>TEXT(data[[#This Row],[Fecha de Envío
Cotización]],"MMMM")</f>
        <v>mayo</v>
      </c>
      <c r="D863" s="124">
        <v>44343</v>
      </c>
      <c r="E863" s="130">
        <v>44349</v>
      </c>
      <c r="F863" s="174"/>
      <c r="G863" s="109">
        <v>3210891</v>
      </c>
      <c r="H863" s="174">
        <v>44349</v>
      </c>
      <c r="I863" s="86">
        <v>7600175</v>
      </c>
      <c r="J863" s="106">
        <v>652</v>
      </c>
      <c r="K863" s="110" t="s">
        <v>33</v>
      </c>
      <c r="L863" s="106"/>
      <c r="M863" s="108" t="s">
        <v>1732</v>
      </c>
      <c r="N863" s="106">
        <v>2</v>
      </c>
      <c r="O863" s="107"/>
      <c r="P863" s="107">
        <v>28.78</v>
      </c>
      <c r="Q863" s="28">
        <f>data[[#This Row],[Costo Producto
Proveedor ($/Unid)]]*data[[#This Row],[Cantidad]]</f>
        <v>0</v>
      </c>
      <c r="R863" s="28">
        <f>data[[#This Row],[Cantidad]]*data[[#This Row],[Precio de Venta Cliente ($/Unid)]]</f>
        <v>57.56</v>
      </c>
      <c r="S863" s="29"/>
      <c r="T863" s="109" t="s">
        <v>22</v>
      </c>
      <c r="U863" s="109"/>
      <c r="V863" s="30" t="s">
        <v>44</v>
      </c>
      <c r="W863" s="32" t="s">
        <v>44</v>
      </c>
      <c r="X863" s="106" t="s">
        <v>23</v>
      </c>
      <c r="Y863" s="106" t="s">
        <v>23</v>
      </c>
      <c r="Z863" s="106" t="s">
        <v>50</v>
      </c>
      <c r="AA863" s="109"/>
    </row>
    <row r="864" spans="2:27" s="105" customFormat="1" x14ac:dyDescent="0.25">
      <c r="B864" s="174"/>
      <c r="C864" s="174" t="str">
        <f>TEXT(data[[#This Row],[Fecha de Envío
Cotización]],"MMMM")</f>
        <v>mayo</v>
      </c>
      <c r="D864" s="124">
        <v>44343</v>
      </c>
      <c r="E864" s="130">
        <v>44349</v>
      </c>
      <c r="F864" s="174"/>
      <c r="G864" s="109">
        <v>3210891</v>
      </c>
      <c r="H864" s="174">
        <v>44349</v>
      </c>
      <c r="I864" s="86">
        <v>7600042</v>
      </c>
      <c r="J864" s="106">
        <v>652</v>
      </c>
      <c r="K864" s="110" t="s">
        <v>33</v>
      </c>
      <c r="L864" s="106"/>
      <c r="M864" s="108" t="s">
        <v>1733</v>
      </c>
      <c r="N864" s="106">
        <v>2</v>
      </c>
      <c r="O864" s="107"/>
      <c r="P864" s="107">
        <v>36.94</v>
      </c>
      <c r="Q864" s="28">
        <f>data[[#This Row],[Costo Producto
Proveedor ($/Unid)]]*data[[#This Row],[Cantidad]]</f>
        <v>0</v>
      </c>
      <c r="R864" s="28">
        <f>data[[#This Row],[Cantidad]]*data[[#This Row],[Precio de Venta Cliente ($/Unid)]]</f>
        <v>73.88</v>
      </c>
      <c r="S864" s="29"/>
      <c r="T864" s="109" t="s">
        <v>22</v>
      </c>
      <c r="U864" s="109"/>
      <c r="V864" s="30" t="s">
        <v>44</v>
      </c>
      <c r="W864" s="32" t="s">
        <v>44</v>
      </c>
      <c r="X864" s="106" t="s">
        <v>23</v>
      </c>
      <c r="Y864" s="106" t="s">
        <v>23</v>
      </c>
      <c r="Z864" s="106" t="s">
        <v>50</v>
      </c>
      <c r="AA864" s="109"/>
    </row>
    <row r="865" spans="2:27" s="105" customFormat="1" x14ac:dyDescent="0.25">
      <c r="B865" s="174"/>
      <c r="C865" s="174" t="str">
        <f>TEXT(data[[#This Row],[Fecha de Envío
Cotización]],"MMMM")</f>
        <v>mayo</v>
      </c>
      <c r="D865" s="124">
        <v>44343</v>
      </c>
      <c r="E865" s="130">
        <v>44349</v>
      </c>
      <c r="F865" s="174"/>
      <c r="G865" s="109">
        <v>3210891</v>
      </c>
      <c r="H865" s="174">
        <v>44349</v>
      </c>
      <c r="I865" s="86">
        <v>7600200</v>
      </c>
      <c r="J865" s="106">
        <v>652</v>
      </c>
      <c r="K865" s="110" t="s">
        <v>33</v>
      </c>
      <c r="L865" s="106"/>
      <c r="M865" s="108" t="s">
        <v>1734</v>
      </c>
      <c r="N865" s="106">
        <v>2</v>
      </c>
      <c r="O865" s="107"/>
      <c r="P865" s="107">
        <v>36.94</v>
      </c>
      <c r="Q865" s="28">
        <f>data[[#This Row],[Costo Producto
Proveedor ($/Unid)]]*data[[#This Row],[Cantidad]]</f>
        <v>0</v>
      </c>
      <c r="R865" s="28">
        <f>data[[#This Row],[Cantidad]]*data[[#This Row],[Precio de Venta Cliente ($/Unid)]]</f>
        <v>73.88</v>
      </c>
      <c r="S865" s="29"/>
      <c r="T865" s="109" t="s">
        <v>22</v>
      </c>
      <c r="U865" s="109"/>
      <c r="V865" s="30" t="s">
        <v>44</v>
      </c>
      <c r="W865" s="32" t="s">
        <v>44</v>
      </c>
      <c r="X865" s="106" t="s">
        <v>23</v>
      </c>
      <c r="Y865" s="106" t="s">
        <v>23</v>
      </c>
      <c r="Z865" s="106" t="s">
        <v>50</v>
      </c>
      <c r="AA865" s="109"/>
    </row>
    <row r="866" spans="2:27" s="105" customFormat="1" x14ac:dyDescent="0.25">
      <c r="B866" s="174"/>
      <c r="C866" s="174" t="str">
        <f>TEXT(data[[#This Row],[Fecha de Envío
Cotización]],"MMMM")</f>
        <v>mayo</v>
      </c>
      <c r="D866" s="124">
        <v>44343</v>
      </c>
      <c r="E866" s="174" t="str">
        <f>IF(data[[#This Row],[Estatus de 
Cotización]]="PERDIDO","N/A","")</f>
        <v/>
      </c>
      <c r="F866" s="174"/>
      <c r="G866" s="109"/>
      <c r="H866" s="174"/>
      <c r="I866" s="86">
        <v>7023224</v>
      </c>
      <c r="J866" s="106">
        <v>653</v>
      </c>
      <c r="K866" s="110" t="s">
        <v>33</v>
      </c>
      <c r="L866" s="106"/>
      <c r="M866" s="108" t="s">
        <v>1735</v>
      </c>
      <c r="N866" s="106">
        <v>2</v>
      </c>
      <c r="O866" s="107"/>
      <c r="P866" s="107">
        <v>535.52</v>
      </c>
      <c r="Q866" s="28">
        <f>data[[#This Row],[Costo Producto
Proveedor ($/Unid)]]*data[[#This Row],[Cantidad]]</f>
        <v>0</v>
      </c>
      <c r="R866" s="28">
        <f>data[[#This Row],[Cantidad]]*data[[#This Row],[Precio de Venta Cliente ($/Unid)]]</f>
        <v>1071.04</v>
      </c>
      <c r="S866" s="29"/>
      <c r="T866" s="109" t="s">
        <v>36</v>
      </c>
      <c r="U866" s="109"/>
      <c r="V866" s="30" t="s">
        <v>46</v>
      </c>
      <c r="W866" s="32" t="s">
        <v>46</v>
      </c>
      <c r="X866" s="106" t="s">
        <v>23</v>
      </c>
      <c r="Y866" s="106" t="s">
        <v>23</v>
      </c>
      <c r="Z866" s="106" t="s">
        <v>50</v>
      </c>
      <c r="AA866" s="109"/>
    </row>
    <row r="867" spans="2:27" s="105" customFormat="1" x14ac:dyDescent="0.25">
      <c r="B867" s="174"/>
      <c r="C867" s="174" t="str">
        <f>TEXT(data[[#This Row],[Fecha de Envío
Cotización]],"MMMM")</f>
        <v>mayo</v>
      </c>
      <c r="D867" s="124">
        <v>44343</v>
      </c>
      <c r="E867" s="174" t="str">
        <f>IF(data[[#This Row],[Estatus de 
Cotización]]="PERDIDO","N/A","")</f>
        <v/>
      </c>
      <c r="F867" s="174"/>
      <c r="G867" s="109"/>
      <c r="H867" s="174"/>
      <c r="I867" s="86">
        <v>7023228</v>
      </c>
      <c r="J867" s="106">
        <v>654</v>
      </c>
      <c r="K867" s="110" t="s">
        <v>33</v>
      </c>
      <c r="L867" s="106"/>
      <c r="M867" s="108" t="s">
        <v>1736</v>
      </c>
      <c r="N867" s="106">
        <v>4</v>
      </c>
      <c r="O867" s="107"/>
      <c r="P867" s="107">
        <v>59.89</v>
      </c>
      <c r="Q867" s="28">
        <f>data[[#This Row],[Costo Producto
Proveedor ($/Unid)]]*data[[#This Row],[Cantidad]]</f>
        <v>0</v>
      </c>
      <c r="R867" s="28">
        <f>data[[#This Row],[Cantidad]]*data[[#This Row],[Precio de Venta Cliente ($/Unid)]]</f>
        <v>239.56</v>
      </c>
      <c r="S867" s="29"/>
      <c r="T867" s="109" t="s">
        <v>16</v>
      </c>
      <c r="U867" s="109"/>
      <c r="V867" s="30" t="s">
        <v>46</v>
      </c>
      <c r="W867" s="32" t="s">
        <v>46</v>
      </c>
      <c r="X867" s="106" t="s">
        <v>23</v>
      </c>
      <c r="Y867" s="106" t="s">
        <v>23</v>
      </c>
      <c r="Z867" s="106" t="s">
        <v>50</v>
      </c>
      <c r="AA867" s="109"/>
    </row>
    <row r="868" spans="2:27" s="105" customFormat="1" x14ac:dyDescent="0.25">
      <c r="B868" s="174"/>
      <c r="C868" s="174" t="str">
        <f>TEXT(data[[#This Row],[Fecha de Envío
Cotización]],"MMMM")</f>
        <v>mayo</v>
      </c>
      <c r="D868" s="124">
        <v>44336</v>
      </c>
      <c r="E868" s="174" t="str">
        <f>IF(data[[#This Row],[Estatus de 
Cotización]]="PERDIDO","N/A","")</f>
        <v/>
      </c>
      <c r="F868" s="174"/>
      <c r="G868" s="109"/>
      <c r="H868" s="174"/>
      <c r="I868" s="86" t="s">
        <v>1599</v>
      </c>
      <c r="J868" s="106">
        <v>529</v>
      </c>
      <c r="K868" s="110" t="s">
        <v>283</v>
      </c>
      <c r="L868" s="106"/>
      <c r="M868" s="108" t="s">
        <v>1601</v>
      </c>
      <c r="N868" s="106">
        <v>15</v>
      </c>
      <c r="O868" s="107"/>
      <c r="P868" s="107">
        <v>176.25</v>
      </c>
      <c r="Q868" s="28">
        <f>data[[#This Row],[Costo Producto
Proveedor ($/Unid)]]*data[[#This Row],[Cantidad]]</f>
        <v>0</v>
      </c>
      <c r="R868" s="28">
        <f>data[[#This Row],[Cantidad]]*data[[#This Row],[Precio de Venta Cliente ($/Unid)]]</f>
        <v>2643.75</v>
      </c>
      <c r="S868" s="29"/>
      <c r="T868" s="109" t="s">
        <v>51</v>
      </c>
      <c r="U868" s="109"/>
      <c r="V868" s="30" t="s">
        <v>46</v>
      </c>
      <c r="W868" s="32" t="s">
        <v>46</v>
      </c>
      <c r="X868" s="106" t="s">
        <v>23</v>
      </c>
      <c r="Y868" s="106" t="s">
        <v>23</v>
      </c>
      <c r="Z868" s="106" t="s">
        <v>50</v>
      </c>
      <c r="AA868" s="109"/>
    </row>
    <row r="869" spans="2:27" s="105" customFormat="1" x14ac:dyDescent="0.25">
      <c r="B869" s="174"/>
      <c r="C869" s="174" t="str">
        <f>TEXT(data[[#This Row],[Fecha de Envío
Cotización]],"MMMM")</f>
        <v>mayo</v>
      </c>
      <c r="D869" s="124">
        <v>44335</v>
      </c>
      <c r="E869" s="174" t="str">
        <f>IF(data[[#This Row],[Estatus de 
Cotización]]="PERDIDO","N/A","")</f>
        <v/>
      </c>
      <c r="F869" s="174"/>
      <c r="G869" s="109"/>
      <c r="H869" s="174"/>
      <c r="I869" s="86">
        <v>153051</v>
      </c>
      <c r="J869" s="106">
        <v>516</v>
      </c>
      <c r="K869" s="110" t="s">
        <v>283</v>
      </c>
      <c r="L869" s="106"/>
      <c r="M869" s="108" t="s">
        <v>1568</v>
      </c>
      <c r="N869" s="106">
        <v>10</v>
      </c>
      <c r="O869" s="107"/>
      <c r="P869" s="107">
        <v>23.36</v>
      </c>
      <c r="Q869" s="28">
        <f>data[[#This Row],[Costo Producto
Proveedor ($/Unid)]]*data[[#This Row],[Cantidad]]</f>
        <v>0</v>
      </c>
      <c r="R869" s="28">
        <f>data[[#This Row],[Cantidad]]*data[[#This Row],[Precio de Venta Cliente ($/Unid)]]</f>
        <v>233.6</v>
      </c>
      <c r="S869" s="29"/>
      <c r="T869" s="109" t="s">
        <v>73</v>
      </c>
      <c r="U869" s="109"/>
      <c r="V869" s="30" t="s">
        <v>46</v>
      </c>
      <c r="W869" s="32" t="s">
        <v>46</v>
      </c>
      <c r="X869" s="106" t="s">
        <v>23</v>
      </c>
      <c r="Y869" s="106" t="s">
        <v>23</v>
      </c>
      <c r="Z869" s="106" t="s">
        <v>50</v>
      </c>
      <c r="AA869" s="109"/>
    </row>
    <row r="870" spans="2:27" s="105" customFormat="1" x14ac:dyDescent="0.25">
      <c r="B870" s="174"/>
      <c r="C870" s="174" t="str">
        <f>TEXT(data[[#This Row],[Fecha de Envío
Cotización]],"MMMM")</f>
        <v>mayo</v>
      </c>
      <c r="D870" s="174">
        <v>44333</v>
      </c>
      <c r="E870" s="174" t="str">
        <f>IF(data[[#This Row],[Estatus de 
Cotización]]="PERDIDO","N/A","")</f>
        <v/>
      </c>
      <c r="F870" s="174"/>
      <c r="G870" s="109"/>
      <c r="H870" s="174"/>
      <c r="I870" s="86">
        <v>511510029</v>
      </c>
      <c r="J870" s="106">
        <v>1580</v>
      </c>
      <c r="K870" s="110" t="s">
        <v>283</v>
      </c>
      <c r="L870" s="106"/>
      <c r="M870" s="108" t="s">
        <v>1494</v>
      </c>
      <c r="N870" s="106">
        <v>1</v>
      </c>
      <c r="O870" s="107"/>
      <c r="P870" s="107">
        <v>1270.24</v>
      </c>
      <c r="Q870" s="28">
        <f>data[[#This Row],[Costo Producto
Proveedor ($/Unid)]]*data[[#This Row],[Cantidad]]</f>
        <v>0</v>
      </c>
      <c r="R870" s="28">
        <f>data[[#This Row],[Cantidad]]*data[[#This Row],[Precio de Venta Cliente ($/Unid)]]</f>
        <v>1270.24</v>
      </c>
      <c r="S870" s="29"/>
      <c r="T870" s="109" t="s">
        <v>134</v>
      </c>
      <c r="U870" s="109"/>
      <c r="V870" s="30" t="s">
        <v>46</v>
      </c>
      <c r="W870" s="32" t="s">
        <v>46</v>
      </c>
      <c r="X870" s="106" t="s">
        <v>23</v>
      </c>
      <c r="Y870" s="106" t="s">
        <v>23</v>
      </c>
      <c r="Z870" s="106" t="s">
        <v>50</v>
      </c>
      <c r="AA870" s="109"/>
    </row>
    <row r="871" spans="2:27" s="105" customFormat="1" x14ac:dyDescent="0.25">
      <c r="B871" s="174"/>
      <c r="C871" s="174" t="str">
        <f>TEXT(data[[#This Row],[Fecha de Envío
Cotización]],"MMMM")</f>
        <v>mayo</v>
      </c>
      <c r="D871" s="124">
        <v>44344</v>
      </c>
      <c r="E871" s="130">
        <v>44344</v>
      </c>
      <c r="F871" s="174"/>
      <c r="G871" s="109">
        <v>4500487515</v>
      </c>
      <c r="H871" s="174">
        <v>44356</v>
      </c>
      <c r="I871" s="86" t="s">
        <v>1783</v>
      </c>
      <c r="J871" s="106">
        <v>664</v>
      </c>
      <c r="K871" s="110" t="s">
        <v>1782</v>
      </c>
      <c r="L871" s="106"/>
      <c r="M871" s="105" t="s">
        <v>1784</v>
      </c>
      <c r="N871" s="106">
        <v>1</v>
      </c>
      <c r="O871" s="107"/>
      <c r="P871" s="107">
        <v>500</v>
      </c>
      <c r="Q871" s="28">
        <f>data[[#This Row],[Costo Producto
Proveedor ($/Unid)]]*data[[#This Row],[Cantidad]]</f>
        <v>0</v>
      </c>
      <c r="R871" s="28">
        <f>data[[#This Row],[Cantidad]]*data[[#This Row],[Precio de Venta Cliente ($/Unid)]]</f>
        <v>500</v>
      </c>
      <c r="S871" s="29"/>
      <c r="T871" s="109" t="s">
        <v>51</v>
      </c>
      <c r="U871" s="109"/>
      <c r="V871" s="30" t="s">
        <v>44</v>
      </c>
      <c r="W871" s="32" t="s">
        <v>44</v>
      </c>
      <c r="X871" s="106" t="s">
        <v>503</v>
      </c>
      <c r="Y871" s="106" t="s">
        <v>503</v>
      </c>
      <c r="Z871" s="106" t="s">
        <v>50</v>
      </c>
      <c r="AA871" s="109"/>
    </row>
    <row r="872" spans="2:27" s="105" customFormat="1" x14ac:dyDescent="0.25">
      <c r="B872" s="174"/>
      <c r="C872" s="174" t="str">
        <f>TEXT(data[[#This Row],[Fecha de Envío
Cotización]],"MMMM")</f>
        <v>mayo</v>
      </c>
      <c r="D872" s="124">
        <v>44344</v>
      </c>
      <c r="E872" s="174" t="str">
        <f>IF(data[[#This Row],[Estatus de 
Cotización]]="PERDIDO","N/A","")</f>
        <v/>
      </c>
      <c r="F872" s="174"/>
      <c r="G872" s="109"/>
      <c r="H872" s="174"/>
      <c r="I872" s="86" t="s">
        <v>1787</v>
      </c>
      <c r="J872" s="106">
        <v>665</v>
      </c>
      <c r="K872" s="110" t="s">
        <v>1788</v>
      </c>
      <c r="L872" s="106"/>
      <c r="M872" s="105" t="s">
        <v>1789</v>
      </c>
      <c r="N872" s="106">
        <v>2</v>
      </c>
      <c r="O872" s="107"/>
      <c r="P872" s="107">
        <v>337.67</v>
      </c>
      <c r="Q872" s="28">
        <f>data[[#This Row],[Costo Producto
Proveedor ($/Unid)]]*data[[#This Row],[Cantidad]]</f>
        <v>0</v>
      </c>
      <c r="R872" s="28">
        <f>data[[#This Row],[Cantidad]]*data[[#This Row],[Precio de Venta Cliente ($/Unid)]]</f>
        <v>675.34</v>
      </c>
      <c r="S872" s="29"/>
      <c r="T872" s="109" t="s">
        <v>22</v>
      </c>
      <c r="U872" s="109"/>
      <c r="V872" s="30" t="s">
        <v>46</v>
      </c>
      <c r="W872" s="32" t="s">
        <v>46</v>
      </c>
      <c r="X872" s="106" t="s">
        <v>23</v>
      </c>
      <c r="Y872" s="106" t="s">
        <v>23</v>
      </c>
      <c r="Z872" s="106" t="s">
        <v>50</v>
      </c>
      <c r="AA872" s="109"/>
    </row>
    <row r="873" spans="2:27" s="105" customFormat="1" x14ac:dyDescent="0.25">
      <c r="B873" s="174"/>
      <c r="C873" s="174" t="str">
        <f>TEXT(data[[#This Row],[Fecha de Envío
Cotización]],"MMMM")</f>
        <v>mayo</v>
      </c>
      <c r="D873" s="124">
        <v>44344</v>
      </c>
      <c r="E873" s="174" t="str">
        <f>IF(data[[#This Row],[Estatus de 
Cotización]]="PERDIDO","N/A","")</f>
        <v/>
      </c>
      <c r="F873" s="174"/>
      <c r="G873" s="109"/>
      <c r="H873" s="174"/>
      <c r="I873" s="86" t="s">
        <v>1790</v>
      </c>
      <c r="J873" s="106">
        <v>667</v>
      </c>
      <c r="K873" s="110" t="s">
        <v>1782</v>
      </c>
      <c r="L873" s="106"/>
      <c r="M873" s="105" t="s">
        <v>1791</v>
      </c>
      <c r="N873" s="106">
        <v>1</v>
      </c>
      <c r="O873" s="107"/>
      <c r="P873" s="107">
        <v>1063.76</v>
      </c>
      <c r="Q873" s="28">
        <f>data[[#This Row],[Costo Producto
Proveedor ($/Unid)]]*data[[#This Row],[Cantidad]]</f>
        <v>0</v>
      </c>
      <c r="R873" s="28">
        <f>data[[#This Row],[Cantidad]]*data[[#This Row],[Precio de Venta Cliente ($/Unid)]]</f>
        <v>1063.76</v>
      </c>
      <c r="S873" s="29"/>
      <c r="T873" s="109" t="s">
        <v>104</v>
      </c>
      <c r="U873" s="109"/>
      <c r="V873" s="30" t="s">
        <v>46</v>
      </c>
      <c r="W873" s="32" t="s">
        <v>46</v>
      </c>
      <c r="X873" s="106" t="s">
        <v>23</v>
      </c>
      <c r="Y873" s="106" t="s">
        <v>23</v>
      </c>
      <c r="Z873" s="106" t="s">
        <v>50</v>
      </c>
      <c r="AA873" s="109"/>
    </row>
    <row r="874" spans="2:27" s="105" customFormat="1" x14ac:dyDescent="0.25">
      <c r="B874" s="174"/>
      <c r="C874" s="174" t="str">
        <f>TEXT(data[[#This Row],[Fecha de Envío
Cotización]],"MMMM")</f>
        <v>mayo</v>
      </c>
      <c r="D874" s="124">
        <v>44335</v>
      </c>
      <c r="E874" s="174" t="str">
        <f>IF(data[[#This Row],[Estatus de 
Cotización]]="PERDIDO","N/A","")</f>
        <v/>
      </c>
      <c r="F874" s="174"/>
      <c r="G874" s="109"/>
      <c r="H874" s="174"/>
      <c r="I874" s="86">
        <v>153046</v>
      </c>
      <c r="J874" s="106">
        <v>516</v>
      </c>
      <c r="K874" s="110" t="s">
        <v>283</v>
      </c>
      <c r="L874" s="106"/>
      <c r="M874" s="108" t="s">
        <v>1565</v>
      </c>
      <c r="N874" s="106">
        <v>15</v>
      </c>
      <c r="O874" s="107"/>
      <c r="P874" s="107">
        <v>20.65</v>
      </c>
      <c r="Q874" s="28">
        <f>data[[#This Row],[Costo Producto
Proveedor ($/Unid)]]*data[[#This Row],[Cantidad]]</f>
        <v>0</v>
      </c>
      <c r="R874" s="28">
        <f>data[[#This Row],[Cantidad]]*data[[#This Row],[Precio de Venta Cliente ($/Unid)]]</f>
        <v>309.75</v>
      </c>
      <c r="S874" s="29"/>
      <c r="T874" s="109" t="s">
        <v>73</v>
      </c>
      <c r="U874" s="109"/>
      <c r="V874" s="30" t="s">
        <v>46</v>
      </c>
      <c r="W874" s="32" t="s">
        <v>46</v>
      </c>
      <c r="X874" s="106" t="s">
        <v>23</v>
      </c>
      <c r="Y874" s="106" t="s">
        <v>23</v>
      </c>
      <c r="Z874" s="106" t="s">
        <v>50</v>
      </c>
      <c r="AA874" s="109"/>
    </row>
    <row r="875" spans="2:27" s="105" customFormat="1" x14ac:dyDescent="0.25">
      <c r="B875" s="174"/>
      <c r="C875" s="174" t="str">
        <f>TEXT(data[[#This Row],[Fecha de Envío
Cotización]],"MMMM")</f>
        <v>mayo</v>
      </c>
      <c r="D875" s="124">
        <v>44335</v>
      </c>
      <c r="E875" s="174" t="str">
        <f>IF(data[[#This Row],[Estatus de 
Cotización]]="PERDIDO","N/A","")</f>
        <v/>
      </c>
      <c r="F875" s="174"/>
      <c r="G875" s="109"/>
      <c r="H875" s="174"/>
      <c r="I875" s="86">
        <v>163433</v>
      </c>
      <c r="J875" s="106">
        <v>516</v>
      </c>
      <c r="K875" s="110" t="s">
        <v>283</v>
      </c>
      <c r="L875" s="106"/>
      <c r="M875" s="108" t="s">
        <v>1566</v>
      </c>
      <c r="N875" s="106">
        <v>3</v>
      </c>
      <c r="O875" s="107"/>
      <c r="P875" s="107">
        <v>1078.0999999999999</v>
      </c>
      <c r="Q875" s="28">
        <f>data[[#This Row],[Costo Producto
Proveedor ($/Unid)]]*data[[#This Row],[Cantidad]]</f>
        <v>0</v>
      </c>
      <c r="R875" s="28">
        <f>data[[#This Row],[Cantidad]]*data[[#This Row],[Precio de Venta Cliente ($/Unid)]]</f>
        <v>3234.2999999999997</v>
      </c>
      <c r="S875" s="29"/>
      <c r="T875" s="109" t="s">
        <v>73</v>
      </c>
      <c r="U875" s="109"/>
      <c r="V875" s="30" t="s">
        <v>46</v>
      </c>
      <c r="W875" s="32" t="s">
        <v>46</v>
      </c>
      <c r="X875" s="106" t="s">
        <v>23</v>
      </c>
      <c r="Y875" s="106" t="s">
        <v>23</v>
      </c>
      <c r="Z875" s="106" t="s">
        <v>50</v>
      </c>
      <c r="AA875" s="109"/>
    </row>
    <row r="876" spans="2:27" s="105" customFormat="1" x14ac:dyDescent="0.25">
      <c r="B876" s="174"/>
      <c r="C876" s="174" t="str">
        <f>TEXT(data[[#This Row],[Fecha de Envío
Cotización]],"MMMM")</f>
        <v>mayo</v>
      </c>
      <c r="D876" s="124">
        <v>44347</v>
      </c>
      <c r="E876" s="174" t="str">
        <f>IF(data[[#This Row],[Estatus de 
Cotización]]="PERDIDO","N/A","")</f>
        <v/>
      </c>
      <c r="F876" s="174"/>
      <c r="G876" s="109"/>
      <c r="H876" s="174"/>
      <c r="I876" s="86">
        <v>7980934</v>
      </c>
      <c r="J876" s="106">
        <v>671</v>
      </c>
      <c r="K876" s="110" t="s">
        <v>33</v>
      </c>
      <c r="L876" s="106"/>
      <c r="M876" s="105" t="s">
        <v>1806</v>
      </c>
      <c r="N876" s="106">
        <v>2</v>
      </c>
      <c r="O876" s="107"/>
      <c r="P876" s="107">
        <v>123.77</v>
      </c>
      <c r="Q876" s="28">
        <f>data[[#This Row],[Costo Producto
Proveedor ($/Unid)]]*data[[#This Row],[Cantidad]]</f>
        <v>0</v>
      </c>
      <c r="R876" s="28">
        <f>data[[#This Row],[Cantidad]]*data[[#This Row],[Precio de Venta Cliente ($/Unid)]]</f>
        <v>247.54</v>
      </c>
      <c r="S876" s="29"/>
      <c r="T876" s="109" t="s">
        <v>124</v>
      </c>
      <c r="U876" s="109"/>
      <c r="V876" s="30" t="s">
        <v>46</v>
      </c>
      <c r="W876" s="32" t="s">
        <v>46</v>
      </c>
      <c r="X876" s="106" t="s">
        <v>23</v>
      </c>
      <c r="Y876" s="106" t="s">
        <v>23</v>
      </c>
      <c r="Z876" s="106" t="s">
        <v>50</v>
      </c>
      <c r="AA876" s="109"/>
    </row>
    <row r="877" spans="2:27" s="105" customFormat="1" x14ac:dyDescent="0.25">
      <c r="B877" s="174"/>
      <c r="C877" s="174" t="str">
        <f>TEXT(data[[#This Row],[Fecha de Envío
Cotización]],"MMMM")</f>
        <v>mayo</v>
      </c>
      <c r="D877" s="124">
        <v>44347</v>
      </c>
      <c r="E877" s="174" t="str">
        <f>IF(data[[#This Row],[Estatus de 
Cotización]]="PERDIDO","N/A","")</f>
        <v/>
      </c>
      <c r="F877" s="174"/>
      <c r="G877" s="109"/>
      <c r="H877" s="174"/>
      <c r="I877" s="86">
        <v>7980936</v>
      </c>
      <c r="J877" s="106">
        <v>671</v>
      </c>
      <c r="K877" s="110" t="s">
        <v>33</v>
      </c>
      <c r="L877" s="106"/>
      <c r="M877" s="105" t="s">
        <v>1807</v>
      </c>
      <c r="N877" s="106">
        <v>3</v>
      </c>
      <c r="O877" s="107"/>
      <c r="P877" s="107">
        <v>50.76</v>
      </c>
      <c r="Q877" s="28">
        <f>data[[#This Row],[Costo Producto
Proveedor ($/Unid)]]*data[[#This Row],[Cantidad]]</f>
        <v>0</v>
      </c>
      <c r="R877" s="28">
        <f>data[[#This Row],[Cantidad]]*data[[#This Row],[Precio de Venta Cliente ($/Unid)]]</f>
        <v>152.28</v>
      </c>
      <c r="S877" s="29"/>
      <c r="T877" s="109" t="s">
        <v>124</v>
      </c>
      <c r="U877" s="109"/>
      <c r="V877" s="30" t="s">
        <v>46</v>
      </c>
      <c r="W877" s="32" t="s">
        <v>46</v>
      </c>
      <c r="X877" s="106" t="s">
        <v>23</v>
      </c>
      <c r="Y877" s="106" t="s">
        <v>23</v>
      </c>
      <c r="Z877" s="106" t="s">
        <v>50</v>
      </c>
      <c r="AA877" s="109"/>
    </row>
    <row r="878" spans="2:27" s="105" customFormat="1" x14ac:dyDescent="0.25">
      <c r="B878" s="174"/>
      <c r="C878" s="174" t="str">
        <f>TEXT(data[[#This Row],[Fecha de Envío
Cotización]],"MMMM")</f>
        <v>mayo</v>
      </c>
      <c r="D878" s="124">
        <v>44347</v>
      </c>
      <c r="E878" s="174" t="str">
        <f>IF(data[[#This Row],[Estatus de 
Cotización]]="PERDIDO","N/A","")</f>
        <v/>
      </c>
      <c r="F878" s="174"/>
      <c r="G878" s="109"/>
      <c r="H878" s="174"/>
      <c r="I878" s="86">
        <v>7980940</v>
      </c>
      <c r="J878" s="106">
        <v>671</v>
      </c>
      <c r="K878" s="110" t="s">
        <v>33</v>
      </c>
      <c r="L878" s="106"/>
      <c r="M878" s="105" t="s">
        <v>1808</v>
      </c>
      <c r="N878" s="106">
        <v>2</v>
      </c>
      <c r="O878" s="107"/>
      <c r="P878" s="107">
        <v>176.48</v>
      </c>
      <c r="Q878" s="28">
        <f>data[[#This Row],[Costo Producto
Proveedor ($/Unid)]]*data[[#This Row],[Cantidad]]</f>
        <v>0</v>
      </c>
      <c r="R878" s="28">
        <f>data[[#This Row],[Cantidad]]*data[[#This Row],[Precio de Venta Cliente ($/Unid)]]</f>
        <v>352.96</v>
      </c>
      <c r="S878" s="29"/>
      <c r="T878" s="109" t="s">
        <v>124</v>
      </c>
      <c r="U878" s="109"/>
      <c r="V878" s="30" t="s">
        <v>46</v>
      </c>
      <c r="W878" s="32" t="s">
        <v>46</v>
      </c>
      <c r="X878" s="106" t="s">
        <v>23</v>
      </c>
      <c r="Y878" s="106" t="s">
        <v>23</v>
      </c>
      <c r="Z878" s="106" t="s">
        <v>50</v>
      </c>
      <c r="AA878" s="109"/>
    </row>
    <row r="879" spans="2:27" s="105" customFormat="1" x14ac:dyDescent="0.25">
      <c r="B879" s="174"/>
      <c r="C879" s="174" t="str">
        <f>TEXT(data[[#This Row],[Fecha de Envío
Cotización]],"MMMM")</f>
        <v>mayo</v>
      </c>
      <c r="D879" s="124">
        <v>44347</v>
      </c>
      <c r="E879" s="174" t="str">
        <f>IF(data[[#This Row],[Estatus de 
Cotización]]="PERDIDO","N/A","")</f>
        <v/>
      </c>
      <c r="F879" s="174"/>
      <c r="G879" s="109"/>
      <c r="H879" s="174"/>
      <c r="I879" s="86">
        <v>7980941</v>
      </c>
      <c r="J879" s="106">
        <v>671</v>
      </c>
      <c r="K879" s="110" t="s">
        <v>33</v>
      </c>
      <c r="L879" s="106"/>
      <c r="M879" s="105" t="s">
        <v>1809</v>
      </c>
      <c r="N879" s="106">
        <v>5</v>
      </c>
      <c r="O879" s="107"/>
      <c r="P879" s="107">
        <v>89.21</v>
      </c>
      <c r="Q879" s="28">
        <f>data[[#This Row],[Costo Producto
Proveedor ($/Unid)]]*data[[#This Row],[Cantidad]]</f>
        <v>0</v>
      </c>
      <c r="R879" s="28">
        <f>data[[#This Row],[Cantidad]]*data[[#This Row],[Precio de Venta Cliente ($/Unid)]]</f>
        <v>446.04999999999995</v>
      </c>
      <c r="S879" s="29"/>
      <c r="T879" s="109" t="s">
        <v>124</v>
      </c>
      <c r="U879" s="109"/>
      <c r="V879" s="30" t="s">
        <v>46</v>
      </c>
      <c r="W879" s="32" t="s">
        <v>46</v>
      </c>
      <c r="X879" s="106" t="s">
        <v>23</v>
      </c>
      <c r="Y879" s="106" t="s">
        <v>23</v>
      </c>
      <c r="Z879" s="106" t="s">
        <v>50</v>
      </c>
      <c r="AA879" s="109"/>
    </row>
    <row r="880" spans="2:27" s="105" customFormat="1" x14ac:dyDescent="0.25">
      <c r="B880" s="174"/>
      <c r="C880" s="174" t="str">
        <f>TEXT(data[[#This Row],[Fecha de Envío
Cotización]],"MMMM")</f>
        <v>mayo</v>
      </c>
      <c r="D880" s="124">
        <v>44347</v>
      </c>
      <c r="E880" s="174" t="str">
        <f>IF(data[[#This Row],[Estatus de 
Cotización]]="PERDIDO","N/A","")</f>
        <v/>
      </c>
      <c r="F880" s="174"/>
      <c r="G880" s="109"/>
      <c r="H880" s="174"/>
      <c r="I880" s="86">
        <v>7980930</v>
      </c>
      <c r="J880" s="106">
        <v>671</v>
      </c>
      <c r="K880" s="110" t="s">
        <v>33</v>
      </c>
      <c r="L880" s="106"/>
      <c r="M880" s="105" t="s">
        <v>1810</v>
      </c>
      <c r="N880" s="106">
        <v>3</v>
      </c>
      <c r="O880" s="107"/>
      <c r="P880" s="107">
        <v>161.69999999999999</v>
      </c>
      <c r="Q880" s="28">
        <f>data[[#This Row],[Costo Producto
Proveedor ($/Unid)]]*data[[#This Row],[Cantidad]]</f>
        <v>0</v>
      </c>
      <c r="R880" s="28">
        <f>data[[#This Row],[Cantidad]]*data[[#This Row],[Precio de Venta Cliente ($/Unid)]]</f>
        <v>485.09999999999997</v>
      </c>
      <c r="S880" s="29"/>
      <c r="T880" s="109" t="s">
        <v>124</v>
      </c>
      <c r="U880" s="109"/>
      <c r="V880" s="30" t="s">
        <v>46</v>
      </c>
      <c r="W880" s="32" t="s">
        <v>46</v>
      </c>
      <c r="X880" s="106" t="s">
        <v>23</v>
      </c>
      <c r="Y880" s="106" t="s">
        <v>23</v>
      </c>
      <c r="Z880" s="106" t="s">
        <v>50</v>
      </c>
      <c r="AA880" s="109"/>
    </row>
    <row r="881" spans="2:27" s="105" customFormat="1" x14ac:dyDescent="0.25">
      <c r="B881" s="174"/>
      <c r="C881" s="174" t="str">
        <f>TEXT(data[[#This Row],[Fecha de Envío
Cotización]],"MMMM")</f>
        <v>mayo</v>
      </c>
      <c r="D881" s="124">
        <v>44347</v>
      </c>
      <c r="E881" s="174" t="str">
        <f>IF(data[[#This Row],[Estatus de 
Cotización]]="PERDIDO","N/A","")</f>
        <v/>
      </c>
      <c r="F881" s="174"/>
      <c r="G881" s="109"/>
      <c r="H881" s="174"/>
      <c r="I881" s="86">
        <v>7980929</v>
      </c>
      <c r="J881" s="106">
        <v>671</v>
      </c>
      <c r="K881" s="110" t="s">
        <v>33</v>
      </c>
      <c r="L881" s="106"/>
      <c r="M881" s="105" t="s">
        <v>1811</v>
      </c>
      <c r="N881" s="106">
        <v>2</v>
      </c>
      <c r="O881" s="107"/>
      <c r="P881" s="107">
        <v>475.03</v>
      </c>
      <c r="Q881" s="28">
        <f>data[[#This Row],[Costo Producto
Proveedor ($/Unid)]]*data[[#This Row],[Cantidad]]</f>
        <v>0</v>
      </c>
      <c r="R881" s="28">
        <f>data[[#This Row],[Cantidad]]*data[[#This Row],[Precio de Venta Cliente ($/Unid)]]</f>
        <v>950.06</v>
      </c>
      <c r="S881" s="29"/>
      <c r="T881" s="109" t="s">
        <v>124</v>
      </c>
      <c r="U881" s="109"/>
      <c r="V881" s="30" t="s">
        <v>46</v>
      </c>
      <c r="W881" s="32" t="s">
        <v>46</v>
      </c>
      <c r="X881" s="106" t="s">
        <v>23</v>
      </c>
      <c r="Y881" s="106" t="s">
        <v>23</v>
      </c>
      <c r="Z881" s="106" t="s">
        <v>50</v>
      </c>
      <c r="AA881" s="109"/>
    </row>
    <row r="882" spans="2:27" s="105" customFormat="1" x14ac:dyDescent="0.25">
      <c r="B882" s="174"/>
      <c r="C882" s="174" t="str">
        <f>TEXT(data[[#This Row],[Fecha de Envío
Cotización]],"MMMM")</f>
        <v>mayo</v>
      </c>
      <c r="D882" s="174">
        <v>44333</v>
      </c>
      <c r="E882" s="174" t="str">
        <f>IF(data[[#This Row],[Estatus de 
Cotización]]="PERDIDO","N/A","")</f>
        <v/>
      </c>
      <c r="F882" s="174"/>
      <c r="G882" s="109"/>
      <c r="H882" s="174"/>
      <c r="I882" s="86">
        <v>511510030</v>
      </c>
      <c r="J882" s="106">
        <v>1580</v>
      </c>
      <c r="K882" s="110" t="s">
        <v>283</v>
      </c>
      <c r="L882" s="106"/>
      <c r="M882" s="108" t="s">
        <v>1495</v>
      </c>
      <c r="N882" s="106">
        <v>2</v>
      </c>
      <c r="O882" s="107"/>
      <c r="P882" s="107">
        <v>285.45</v>
      </c>
      <c r="Q882" s="28">
        <f>data[[#This Row],[Costo Producto
Proveedor ($/Unid)]]*data[[#This Row],[Cantidad]]</f>
        <v>0</v>
      </c>
      <c r="R882" s="28">
        <f>data[[#This Row],[Cantidad]]*data[[#This Row],[Precio de Venta Cliente ($/Unid)]]</f>
        <v>570.9</v>
      </c>
      <c r="S882" s="29"/>
      <c r="T882" s="109" t="s">
        <v>51</v>
      </c>
      <c r="U882" s="109"/>
      <c r="V882" s="30" t="s">
        <v>46</v>
      </c>
      <c r="W882" s="32" t="s">
        <v>46</v>
      </c>
      <c r="X882" s="106" t="s">
        <v>23</v>
      </c>
      <c r="Y882" s="106" t="s">
        <v>23</v>
      </c>
      <c r="Z882" s="106" t="s">
        <v>50</v>
      </c>
      <c r="AA882" s="109"/>
    </row>
    <row r="883" spans="2:27" s="105" customFormat="1" x14ac:dyDescent="0.25">
      <c r="B883" s="174"/>
      <c r="C883" s="174" t="str">
        <f>TEXT(data[[#This Row],[Fecha de Envío
Cotización]],"MMMM")</f>
        <v>mayo</v>
      </c>
      <c r="D883" s="124">
        <v>44347</v>
      </c>
      <c r="E883" s="174" t="str">
        <f>IF(data[[#This Row],[Estatus de 
Cotización]]="PERDIDO","N/A","")</f>
        <v/>
      </c>
      <c r="F883" s="174"/>
      <c r="G883" s="109"/>
      <c r="H883" s="174"/>
      <c r="I883" s="86" t="s">
        <v>1813</v>
      </c>
      <c r="J883" s="106">
        <v>674</v>
      </c>
      <c r="K883" s="110" t="s">
        <v>33</v>
      </c>
      <c r="L883" s="106"/>
      <c r="M883" s="105" t="s">
        <v>1814</v>
      </c>
      <c r="N883" s="106">
        <v>4</v>
      </c>
      <c r="O883" s="107"/>
      <c r="P883" s="107">
        <v>71.66</v>
      </c>
      <c r="Q883" s="28">
        <f>data[[#This Row],[Costo Producto
Proveedor ($/Unid)]]*data[[#This Row],[Cantidad]]</f>
        <v>0</v>
      </c>
      <c r="R883" s="28">
        <f>data[[#This Row],[Cantidad]]*data[[#This Row],[Precio de Venta Cliente ($/Unid)]]</f>
        <v>286.64</v>
      </c>
      <c r="S883" s="29"/>
      <c r="T883" s="109" t="s">
        <v>36</v>
      </c>
      <c r="U883" s="109"/>
      <c r="V883" s="30" t="s">
        <v>46</v>
      </c>
      <c r="W883" s="32" t="s">
        <v>46</v>
      </c>
      <c r="X883" s="106" t="s">
        <v>23</v>
      </c>
      <c r="Y883" s="106" t="s">
        <v>23</v>
      </c>
      <c r="Z883" s="106" t="s">
        <v>50</v>
      </c>
      <c r="AA883" s="109"/>
    </row>
    <row r="884" spans="2:27" s="105" customFormat="1" x14ac:dyDescent="0.25">
      <c r="B884" s="174"/>
      <c r="C884" s="174" t="str">
        <f>TEXT(data[[#This Row],[Fecha de Envío
Cotización]],"MMMM")</f>
        <v>junio</v>
      </c>
      <c r="D884" s="124">
        <v>44348</v>
      </c>
      <c r="E884" s="130" t="str">
        <f>IF(data[[#This Row],[Estatus de 
Cotización]]="PERDIDO","N/A","")</f>
        <v>N/A</v>
      </c>
      <c r="F884" s="174"/>
      <c r="G884" s="109"/>
      <c r="H884" s="174"/>
      <c r="I884" s="86" t="s">
        <v>1839</v>
      </c>
      <c r="J884" s="106">
        <v>678</v>
      </c>
      <c r="K884" s="110" t="s">
        <v>33</v>
      </c>
      <c r="L884" s="106"/>
      <c r="M884" s="105" t="s">
        <v>1841</v>
      </c>
      <c r="N884" s="106">
        <v>8</v>
      </c>
      <c r="O884" s="107"/>
      <c r="P884" s="107">
        <v>20.99</v>
      </c>
      <c r="Q884" s="28">
        <f>data[[#This Row],[Costo Producto
Proveedor ($/Unid)]]*data[[#This Row],[Cantidad]]</f>
        <v>0</v>
      </c>
      <c r="R884" s="28">
        <f>data[[#This Row],[Cantidad]]*data[[#This Row],[Precio de Venta Cliente ($/Unid)]]</f>
        <v>167.92</v>
      </c>
      <c r="S884" s="29"/>
      <c r="T884" s="109" t="s">
        <v>22</v>
      </c>
      <c r="U884" s="109"/>
      <c r="V884" s="30" t="s">
        <v>42</v>
      </c>
      <c r="W884" s="32" t="s">
        <v>42</v>
      </c>
      <c r="X884" s="106" t="s">
        <v>23</v>
      </c>
      <c r="Y884" s="106" t="s">
        <v>23</v>
      </c>
      <c r="Z884" s="106" t="s">
        <v>50</v>
      </c>
      <c r="AA884" s="109" t="s">
        <v>1894</v>
      </c>
    </row>
    <row r="885" spans="2:27" s="105" customFormat="1" x14ac:dyDescent="0.25">
      <c r="B885" s="174"/>
      <c r="C885" s="174" t="str">
        <f>TEXT(data[[#This Row],[Fecha de Envío
Cotización]],"MMMM")</f>
        <v>junio</v>
      </c>
      <c r="D885" s="124">
        <v>44348</v>
      </c>
      <c r="E885" s="130" t="str">
        <f>IF(data[[#This Row],[Estatus de 
Cotización]]="PERDIDO","N/A","")</f>
        <v>N/A</v>
      </c>
      <c r="F885" s="174"/>
      <c r="G885" s="109"/>
      <c r="H885" s="174"/>
      <c r="I885" s="86" t="s">
        <v>1840</v>
      </c>
      <c r="J885" s="106">
        <v>678</v>
      </c>
      <c r="K885" s="110" t="s">
        <v>33</v>
      </c>
      <c r="L885" s="106"/>
      <c r="M885" s="105" t="s">
        <v>1842</v>
      </c>
      <c r="N885" s="106">
        <v>8</v>
      </c>
      <c r="O885" s="107"/>
      <c r="P885" s="107">
        <v>20.99</v>
      </c>
      <c r="Q885" s="28">
        <f>data[[#This Row],[Costo Producto
Proveedor ($/Unid)]]*data[[#This Row],[Cantidad]]</f>
        <v>0</v>
      </c>
      <c r="R885" s="28">
        <f>data[[#This Row],[Cantidad]]*data[[#This Row],[Precio de Venta Cliente ($/Unid)]]</f>
        <v>167.92</v>
      </c>
      <c r="S885" s="29"/>
      <c r="T885" s="109" t="s">
        <v>22</v>
      </c>
      <c r="U885" s="109"/>
      <c r="V885" s="30" t="s">
        <v>42</v>
      </c>
      <c r="W885" s="32" t="s">
        <v>42</v>
      </c>
      <c r="X885" s="106" t="s">
        <v>23</v>
      </c>
      <c r="Y885" s="106" t="s">
        <v>23</v>
      </c>
      <c r="Z885" s="106" t="s">
        <v>50</v>
      </c>
      <c r="AA885" s="109" t="s">
        <v>1894</v>
      </c>
    </row>
    <row r="886" spans="2:27" s="105" customFormat="1" x14ac:dyDescent="0.25">
      <c r="B886" s="174"/>
      <c r="C886" s="174" t="str">
        <f>TEXT(data[[#This Row],[Fecha de Envío
Cotización]],"MMMM")</f>
        <v>junio</v>
      </c>
      <c r="D886" s="124">
        <v>44348</v>
      </c>
      <c r="E886" s="174" t="str">
        <f>IF(data[[#This Row],[Estatus de 
Cotización]]="PERDIDO","N/A","")</f>
        <v/>
      </c>
      <c r="F886" s="174"/>
      <c r="G886" s="109"/>
      <c r="H886" s="174"/>
      <c r="I886" s="86">
        <v>89862</v>
      </c>
      <c r="J886" s="106">
        <v>681</v>
      </c>
      <c r="K886" s="110" t="s">
        <v>33</v>
      </c>
      <c r="L886" s="106"/>
      <c r="M886" s="105" t="s">
        <v>1843</v>
      </c>
      <c r="N886" s="106">
        <v>3</v>
      </c>
      <c r="O886" s="107"/>
      <c r="P886" s="107">
        <v>180.65</v>
      </c>
      <c r="Q886" s="28">
        <f>data[[#This Row],[Costo Producto
Proveedor ($/Unid)]]*data[[#This Row],[Cantidad]]</f>
        <v>0</v>
      </c>
      <c r="R886" s="28">
        <f>data[[#This Row],[Cantidad]]*data[[#This Row],[Precio de Venta Cliente ($/Unid)]]</f>
        <v>541.95000000000005</v>
      </c>
      <c r="S886" s="29"/>
      <c r="T886" s="109" t="s">
        <v>16</v>
      </c>
      <c r="U886" s="109"/>
      <c r="V886" s="30" t="s">
        <v>46</v>
      </c>
      <c r="W886" s="32" t="s">
        <v>46</v>
      </c>
      <c r="X886" s="106" t="s">
        <v>23</v>
      </c>
      <c r="Y886" s="106" t="s">
        <v>23</v>
      </c>
      <c r="Z886" s="106" t="s">
        <v>50</v>
      </c>
      <c r="AA886" s="109"/>
    </row>
    <row r="887" spans="2:27" s="105" customFormat="1" x14ac:dyDescent="0.25">
      <c r="B887" s="174"/>
      <c r="C887" s="174" t="str">
        <f>TEXT(data[[#This Row],[Fecha de Envío
Cotización]],"MMMM")</f>
        <v>mayo</v>
      </c>
      <c r="D887" s="124">
        <v>44335</v>
      </c>
      <c r="E887" s="174" t="str">
        <f>IF(data[[#This Row],[Estatus de 
Cotización]]="PERDIDO","N/A","")</f>
        <v/>
      </c>
      <c r="F887" s="174"/>
      <c r="G887" s="109"/>
      <c r="H887" s="174"/>
      <c r="I887" s="86">
        <v>153002</v>
      </c>
      <c r="J887" s="106">
        <v>516</v>
      </c>
      <c r="K887" s="110" t="s">
        <v>283</v>
      </c>
      <c r="L887" s="106"/>
      <c r="M887" s="108" t="s">
        <v>1564</v>
      </c>
      <c r="N887" s="106">
        <v>15</v>
      </c>
      <c r="O887" s="107"/>
      <c r="P887" s="107">
        <v>18.64</v>
      </c>
      <c r="Q887" s="28">
        <f>data[[#This Row],[Costo Producto
Proveedor ($/Unid)]]*data[[#This Row],[Cantidad]]</f>
        <v>0</v>
      </c>
      <c r="R887" s="28">
        <f>data[[#This Row],[Cantidad]]*data[[#This Row],[Precio de Venta Cliente ($/Unid)]]</f>
        <v>279.60000000000002</v>
      </c>
      <c r="S887" s="29"/>
      <c r="T887" s="109" t="s">
        <v>73</v>
      </c>
      <c r="U887" s="109"/>
      <c r="V887" s="30" t="s">
        <v>46</v>
      </c>
      <c r="W887" s="32" t="s">
        <v>46</v>
      </c>
      <c r="X887" s="106" t="s">
        <v>23</v>
      </c>
      <c r="Y887" s="106" t="s">
        <v>23</v>
      </c>
      <c r="Z887" s="106" t="s">
        <v>50</v>
      </c>
      <c r="AA887" s="109"/>
    </row>
    <row r="888" spans="2:27" s="105" customFormat="1" x14ac:dyDescent="0.25">
      <c r="B888" s="174"/>
      <c r="C888" s="174" t="str">
        <f>TEXT(data[[#This Row],[Fecha de Envío
Cotización]],"MMMM")</f>
        <v>junio</v>
      </c>
      <c r="D888" s="124">
        <v>44350</v>
      </c>
      <c r="E888" s="174" t="str">
        <f>IF(data[[#This Row],[Estatus de 
Cotización]]="PERDIDO","N/A","")</f>
        <v/>
      </c>
      <c r="F888" s="174"/>
      <c r="G888" s="109"/>
      <c r="H888" s="174"/>
      <c r="I888" s="86" t="s">
        <v>1897</v>
      </c>
      <c r="J888" s="106">
        <v>699</v>
      </c>
      <c r="K888" s="110" t="s">
        <v>283</v>
      </c>
      <c r="L888" s="106"/>
      <c r="M888" s="105" t="s">
        <v>1899</v>
      </c>
      <c r="N888" s="106">
        <v>1</v>
      </c>
      <c r="O888" s="107"/>
      <c r="P888" s="107">
        <v>2843.96</v>
      </c>
      <c r="Q888" s="28">
        <f>data[[#This Row],[Costo Producto
Proveedor ($/Unid)]]*data[[#This Row],[Cantidad]]</f>
        <v>0</v>
      </c>
      <c r="R888" s="28">
        <f>data[[#This Row],[Cantidad]]*data[[#This Row],[Precio de Venta Cliente ($/Unid)]]</f>
        <v>2843.96</v>
      </c>
      <c r="S888" s="29"/>
      <c r="T888" s="109" t="s">
        <v>36</v>
      </c>
      <c r="U888" s="109"/>
      <c r="V888" s="30" t="s">
        <v>46</v>
      </c>
      <c r="W888" s="32" t="s">
        <v>46</v>
      </c>
      <c r="X888" s="106" t="s">
        <v>23</v>
      </c>
      <c r="Y888" s="106" t="s">
        <v>23</v>
      </c>
      <c r="Z888" s="106" t="s">
        <v>50</v>
      </c>
      <c r="AA888" s="109"/>
    </row>
    <row r="889" spans="2:27" s="105" customFormat="1" x14ac:dyDescent="0.25">
      <c r="B889" s="174"/>
      <c r="C889" s="174" t="str">
        <f>TEXT(data[[#This Row],[Fecha de Envío
Cotización]],"MMMM")</f>
        <v>junio</v>
      </c>
      <c r="D889" s="124">
        <v>44348</v>
      </c>
      <c r="E889" s="174" t="str">
        <f>IF(data[[#This Row],[Estatus de 
Cotización]]="PERDIDO","N/A","")</f>
        <v/>
      </c>
      <c r="F889" s="174"/>
      <c r="G889" s="109"/>
      <c r="H889" s="174"/>
      <c r="I889" s="86">
        <v>154536</v>
      </c>
      <c r="J889" s="106">
        <v>687</v>
      </c>
      <c r="K889" s="110" t="s">
        <v>126</v>
      </c>
      <c r="L889" s="106"/>
      <c r="M889" s="105" t="s">
        <v>1879</v>
      </c>
      <c r="N889" s="106">
        <v>2</v>
      </c>
      <c r="O889" s="107"/>
      <c r="P889" s="107">
        <v>69.099999999999994</v>
      </c>
      <c r="Q889" s="28">
        <f>data[[#This Row],[Costo Producto
Proveedor ($/Unid)]]*data[[#This Row],[Cantidad]]</f>
        <v>0</v>
      </c>
      <c r="R889" s="28">
        <f>data[[#This Row],[Cantidad]]*data[[#This Row],[Precio de Venta Cliente ($/Unid)]]</f>
        <v>138.19999999999999</v>
      </c>
      <c r="S889" s="29"/>
      <c r="T889" s="109" t="s">
        <v>36</v>
      </c>
      <c r="U889" s="109"/>
      <c r="V889" s="30" t="s">
        <v>46</v>
      </c>
      <c r="W889" s="32" t="s">
        <v>46</v>
      </c>
      <c r="X889" s="106" t="s">
        <v>23</v>
      </c>
      <c r="Y889" s="106" t="s">
        <v>23</v>
      </c>
      <c r="Z889" s="106" t="s">
        <v>50</v>
      </c>
      <c r="AA889" s="109"/>
    </row>
    <row r="890" spans="2:27" s="105" customFormat="1" x14ac:dyDescent="0.25">
      <c r="B890" s="174"/>
      <c r="C890" s="174" t="str">
        <f>TEXT(data[[#This Row],[Fecha de Envío
Cotización]],"MMMM")</f>
        <v>junio</v>
      </c>
      <c r="D890" s="124">
        <v>44348</v>
      </c>
      <c r="E890" s="174" t="str">
        <f>IF(data[[#This Row],[Estatus de 
Cotización]]="PERDIDO","N/A","")</f>
        <v/>
      </c>
      <c r="F890" s="174"/>
      <c r="G890" s="109"/>
      <c r="H890" s="174"/>
      <c r="I890" s="86">
        <v>164087</v>
      </c>
      <c r="J890" s="106">
        <v>687</v>
      </c>
      <c r="K890" s="110" t="s">
        <v>126</v>
      </c>
      <c r="L890" s="106"/>
      <c r="M890" s="105" t="s">
        <v>1880</v>
      </c>
      <c r="N890" s="106">
        <v>2</v>
      </c>
      <c r="O890" s="107"/>
      <c r="P890" s="107">
        <v>33.020000000000003</v>
      </c>
      <c r="Q890" s="28">
        <f>data[[#This Row],[Costo Producto
Proveedor ($/Unid)]]*data[[#This Row],[Cantidad]]</f>
        <v>0</v>
      </c>
      <c r="R890" s="28">
        <f>data[[#This Row],[Cantidad]]*data[[#This Row],[Precio de Venta Cliente ($/Unid)]]</f>
        <v>66.040000000000006</v>
      </c>
      <c r="S890" s="29"/>
      <c r="T890" s="109" t="s">
        <v>36</v>
      </c>
      <c r="U890" s="109"/>
      <c r="V890" s="30" t="s">
        <v>46</v>
      </c>
      <c r="W890" s="32" t="s">
        <v>46</v>
      </c>
      <c r="X890" s="106" t="s">
        <v>23</v>
      </c>
      <c r="Y890" s="106" t="s">
        <v>23</v>
      </c>
      <c r="Z890" s="106" t="s">
        <v>50</v>
      </c>
      <c r="AA890" s="109"/>
    </row>
    <row r="891" spans="2:27" s="105" customFormat="1" x14ac:dyDescent="0.25">
      <c r="B891" s="174"/>
      <c r="C891" s="174" t="str">
        <f>TEXT(data[[#This Row],[Fecha de Envío
Cotización]],"MMMM")</f>
        <v>junio</v>
      </c>
      <c r="D891" s="124">
        <v>44348</v>
      </c>
      <c r="E891" s="174" t="str">
        <f>IF(data[[#This Row],[Estatus de 
Cotización]]="PERDIDO","N/A","")</f>
        <v/>
      </c>
      <c r="F891" s="174"/>
      <c r="G891" s="109"/>
      <c r="H891" s="174"/>
      <c r="I891" s="86">
        <v>100551</v>
      </c>
      <c r="J891" s="106">
        <v>687</v>
      </c>
      <c r="K891" s="110" t="s">
        <v>126</v>
      </c>
      <c r="L891" s="106"/>
      <c r="M891" s="105" t="s">
        <v>1881</v>
      </c>
      <c r="N891" s="106">
        <v>2</v>
      </c>
      <c r="O891" s="107"/>
      <c r="P891" s="107">
        <v>82.53</v>
      </c>
      <c r="Q891" s="28">
        <f>data[[#This Row],[Costo Producto
Proveedor ($/Unid)]]*data[[#This Row],[Cantidad]]</f>
        <v>0</v>
      </c>
      <c r="R891" s="28">
        <f>data[[#This Row],[Cantidad]]*data[[#This Row],[Precio de Venta Cliente ($/Unid)]]</f>
        <v>165.06</v>
      </c>
      <c r="S891" s="29"/>
      <c r="T891" s="109" t="s">
        <v>36</v>
      </c>
      <c r="U891" s="109"/>
      <c r="V891" s="30" t="s">
        <v>46</v>
      </c>
      <c r="W891" s="32" t="s">
        <v>46</v>
      </c>
      <c r="X891" s="106" t="s">
        <v>23</v>
      </c>
      <c r="Y891" s="106" t="s">
        <v>23</v>
      </c>
      <c r="Z891" s="106" t="s">
        <v>50</v>
      </c>
      <c r="AA891" s="109"/>
    </row>
    <row r="892" spans="2:27" s="105" customFormat="1" x14ac:dyDescent="0.25">
      <c r="B892" s="174"/>
      <c r="C892" s="174" t="str">
        <f>TEXT(data[[#This Row],[Fecha de Envío
Cotización]],"MMMM")</f>
        <v>junio</v>
      </c>
      <c r="D892" s="124">
        <v>44348</v>
      </c>
      <c r="E892" s="174" t="str">
        <f>IF(data[[#This Row],[Estatus de 
Cotización]]="PERDIDO","N/A","")</f>
        <v/>
      </c>
      <c r="F892" s="174"/>
      <c r="G892" s="109"/>
      <c r="H892" s="174"/>
      <c r="I892" s="86">
        <v>108871</v>
      </c>
      <c r="J892" s="106">
        <v>687</v>
      </c>
      <c r="K892" s="110" t="s">
        <v>126</v>
      </c>
      <c r="L892" s="106"/>
      <c r="M892" s="105" t="s">
        <v>1882</v>
      </c>
      <c r="N892" s="106">
        <v>3</v>
      </c>
      <c r="O892" s="107"/>
      <c r="P892" s="107">
        <v>87.13</v>
      </c>
      <c r="Q892" s="28">
        <f>data[[#This Row],[Costo Producto
Proveedor ($/Unid)]]*data[[#This Row],[Cantidad]]</f>
        <v>0</v>
      </c>
      <c r="R892" s="28">
        <f>data[[#This Row],[Cantidad]]*data[[#This Row],[Precio de Venta Cliente ($/Unid)]]</f>
        <v>261.39</v>
      </c>
      <c r="S892" s="29"/>
      <c r="T892" s="109" t="s">
        <v>36</v>
      </c>
      <c r="U892" s="109"/>
      <c r="V892" s="30" t="s">
        <v>46</v>
      </c>
      <c r="W892" s="32" t="s">
        <v>46</v>
      </c>
      <c r="X892" s="106" t="s">
        <v>23</v>
      </c>
      <c r="Y892" s="106" t="s">
        <v>23</v>
      </c>
      <c r="Z892" s="106" t="s">
        <v>50</v>
      </c>
      <c r="AA892" s="109"/>
    </row>
    <row r="893" spans="2:27" s="105" customFormat="1" x14ac:dyDescent="0.25">
      <c r="B893" s="174"/>
      <c r="C893" s="174" t="str">
        <f>TEXT(data[[#This Row],[Fecha de Envío
Cotización]],"MMMM")</f>
        <v>junio</v>
      </c>
      <c r="D893" s="124">
        <v>44348</v>
      </c>
      <c r="E893" s="174" t="str">
        <f>IF(data[[#This Row],[Estatus de 
Cotización]]="PERDIDO","N/A","")</f>
        <v/>
      </c>
      <c r="F893" s="174"/>
      <c r="G893" s="109"/>
      <c r="H893" s="174"/>
      <c r="I893" s="86">
        <v>164086</v>
      </c>
      <c r="J893" s="106">
        <v>687</v>
      </c>
      <c r="K893" s="110" t="s">
        <v>126</v>
      </c>
      <c r="L893" s="106"/>
      <c r="M893" s="105" t="s">
        <v>1883</v>
      </c>
      <c r="N893" s="106">
        <v>2</v>
      </c>
      <c r="O893" s="107"/>
      <c r="P893" s="107">
        <v>41.29</v>
      </c>
      <c r="Q893" s="28">
        <f>data[[#This Row],[Costo Producto
Proveedor ($/Unid)]]*data[[#This Row],[Cantidad]]</f>
        <v>0</v>
      </c>
      <c r="R893" s="28">
        <f>data[[#This Row],[Cantidad]]*data[[#This Row],[Precio de Venta Cliente ($/Unid)]]</f>
        <v>82.58</v>
      </c>
      <c r="S893" s="29"/>
      <c r="T893" s="109" t="s">
        <v>36</v>
      </c>
      <c r="U893" s="109"/>
      <c r="V893" s="30" t="s">
        <v>46</v>
      </c>
      <c r="W893" s="32" t="s">
        <v>46</v>
      </c>
      <c r="X893" s="106" t="s">
        <v>23</v>
      </c>
      <c r="Y893" s="106" t="s">
        <v>23</v>
      </c>
      <c r="Z893" s="106" t="s">
        <v>50</v>
      </c>
      <c r="AA893" s="109"/>
    </row>
    <row r="894" spans="2:27" s="105" customFormat="1" x14ac:dyDescent="0.25">
      <c r="B894" s="174"/>
      <c r="C894" s="174" t="str">
        <f>TEXT(data[[#This Row],[Fecha de Envío
Cotización]],"MMMM")</f>
        <v>junio</v>
      </c>
      <c r="D894" s="124">
        <v>44348</v>
      </c>
      <c r="E894" s="174" t="str">
        <f>IF(data[[#This Row],[Estatus de 
Cotización]]="PERDIDO","N/A","")</f>
        <v/>
      </c>
      <c r="F894" s="174"/>
      <c r="G894" s="109"/>
      <c r="H894" s="174"/>
      <c r="I894" s="86">
        <v>164085</v>
      </c>
      <c r="J894" s="106">
        <v>687</v>
      </c>
      <c r="K894" s="110" t="s">
        <v>126</v>
      </c>
      <c r="L894" s="106"/>
      <c r="M894" s="105" t="s">
        <v>1884</v>
      </c>
      <c r="N894" s="106">
        <v>2</v>
      </c>
      <c r="O894" s="107"/>
      <c r="P894" s="107">
        <v>96.88</v>
      </c>
      <c r="Q894" s="28">
        <f>data[[#This Row],[Costo Producto
Proveedor ($/Unid)]]*data[[#This Row],[Cantidad]]</f>
        <v>0</v>
      </c>
      <c r="R894" s="28">
        <f>data[[#This Row],[Cantidad]]*data[[#This Row],[Precio de Venta Cliente ($/Unid)]]</f>
        <v>193.76</v>
      </c>
      <c r="S894" s="29"/>
      <c r="T894" s="109" t="s">
        <v>36</v>
      </c>
      <c r="U894" s="109"/>
      <c r="V894" s="30" t="s">
        <v>46</v>
      </c>
      <c r="W894" s="32" t="s">
        <v>46</v>
      </c>
      <c r="X894" s="106" t="s">
        <v>23</v>
      </c>
      <c r="Y894" s="106" t="s">
        <v>23</v>
      </c>
      <c r="Z894" s="106" t="s">
        <v>50</v>
      </c>
      <c r="AA894" s="109"/>
    </row>
    <row r="895" spans="2:27" s="105" customFormat="1" x14ac:dyDescent="0.25">
      <c r="B895" s="174"/>
      <c r="C895" s="174" t="str">
        <f>TEXT(data[[#This Row],[Fecha de Envío
Cotización]],"MMMM")</f>
        <v>junio</v>
      </c>
      <c r="D895" s="124">
        <v>44348</v>
      </c>
      <c r="E895" s="174" t="str">
        <f>IF(data[[#This Row],[Estatus de 
Cotización]]="PERDIDO","N/A","")</f>
        <v/>
      </c>
      <c r="F895" s="174"/>
      <c r="G895" s="109"/>
      <c r="H895" s="174"/>
      <c r="I895" s="86">
        <v>131775</v>
      </c>
      <c r="J895" s="106">
        <v>687</v>
      </c>
      <c r="K895" s="110" t="s">
        <v>126</v>
      </c>
      <c r="L895" s="106"/>
      <c r="M895" s="105" t="s">
        <v>1885</v>
      </c>
      <c r="N895" s="106">
        <v>2</v>
      </c>
      <c r="O895" s="107"/>
      <c r="P895" s="107">
        <v>96.88</v>
      </c>
      <c r="Q895" s="28">
        <f>data[[#This Row],[Costo Producto
Proveedor ($/Unid)]]*data[[#This Row],[Cantidad]]</f>
        <v>0</v>
      </c>
      <c r="R895" s="28">
        <f>data[[#This Row],[Cantidad]]*data[[#This Row],[Precio de Venta Cliente ($/Unid)]]</f>
        <v>193.76</v>
      </c>
      <c r="S895" s="29"/>
      <c r="T895" s="109" t="s">
        <v>36</v>
      </c>
      <c r="U895" s="109"/>
      <c r="V895" s="30" t="s">
        <v>46</v>
      </c>
      <c r="W895" s="32" t="s">
        <v>46</v>
      </c>
      <c r="X895" s="106" t="s">
        <v>23</v>
      </c>
      <c r="Y895" s="106" t="s">
        <v>23</v>
      </c>
      <c r="Z895" s="106" t="s">
        <v>50</v>
      </c>
      <c r="AA895" s="109"/>
    </row>
    <row r="896" spans="2:27" s="105" customFormat="1" x14ac:dyDescent="0.25">
      <c r="B896" s="174"/>
      <c r="C896" s="174" t="str">
        <f>TEXT(data[[#This Row],[Fecha de Envío
Cotización]],"MMMM")</f>
        <v>junio</v>
      </c>
      <c r="D896" s="124">
        <v>44348</v>
      </c>
      <c r="E896" s="174" t="str">
        <f>IF(data[[#This Row],[Estatus de 
Cotización]]="PERDIDO","N/A","")</f>
        <v/>
      </c>
      <c r="F896" s="174"/>
      <c r="G896" s="109"/>
      <c r="H896" s="174"/>
      <c r="I896" s="86">
        <v>108656</v>
      </c>
      <c r="J896" s="106">
        <v>687</v>
      </c>
      <c r="K896" s="110" t="s">
        <v>126</v>
      </c>
      <c r="L896" s="106"/>
      <c r="M896" s="105" t="s">
        <v>1886</v>
      </c>
      <c r="N896" s="106">
        <v>4</v>
      </c>
      <c r="O896" s="107"/>
      <c r="P896" s="107">
        <v>87.71</v>
      </c>
      <c r="Q896" s="28">
        <f>data[[#This Row],[Costo Producto
Proveedor ($/Unid)]]*data[[#This Row],[Cantidad]]</f>
        <v>0</v>
      </c>
      <c r="R896" s="28">
        <f>data[[#This Row],[Cantidad]]*data[[#This Row],[Precio de Venta Cliente ($/Unid)]]</f>
        <v>350.84</v>
      </c>
      <c r="S896" s="29"/>
      <c r="T896" s="109" t="s">
        <v>36</v>
      </c>
      <c r="U896" s="109"/>
      <c r="V896" s="30" t="s">
        <v>46</v>
      </c>
      <c r="W896" s="32" t="s">
        <v>46</v>
      </c>
      <c r="X896" s="106" t="s">
        <v>23</v>
      </c>
      <c r="Y896" s="106" t="s">
        <v>23</v>
      </c>
      <c r="Z896" s="106" t="s">
        <v>50</v>
      </c>
      <c r="AA896" s="109"/>
    </row>
    <row r="897" spans="2:27" s="105" customFormat="1" x14ac:dyDescent="0.25">
      <c r="B897" s="174"/>
      <c r="C897" s="174" t="str">
        <f>TEXT(data[[#This Row],[Fecha de Envío
Cotización]],"MMMM")</f>
        <v>mayo</v>
      </c>
      <c r="D897" s="124">
        <v>44347</v>
      </c>
      <c r="E897" s="174" t="str">
        <f>IF(data[[#This Row],[Estatus de 
Cotización]]="PERDIDO","N/A","")</f>
        <v/>
      </c>
      <c r="F897" s="174"/>
      <c r="G897" s="109"/>
      <c r="H897" s="174"/>
      <c r="I897" s="86">
        <v>26173012</v>
      </c>
      <c r="J897" s="106">
        <v>673</v>
      </c>
      <c r="K897" s="110" t="s">
        <v>283</v>
      </c>
      <c r="L897" s="106"/>
      <c r="M897" s="105" t="s">
        <v>1812</v>
      </c>
      <c r="N897" s="106">
        <v>13</v>
      </c>
      <c r="O897" s="107"/>
      <c r="P897" s="107">
        <v>84.04</v>
      </c>
      <c r="Q897" s="28">
        <f>data[[#This Row],[Costo Producto
Proveedor ($/Unid)]]*data[[#This Row],[Cantidad]]</f>
        <v>0</v>
      </c>
      <c r="R897" s="28">
        <f>data[[#This Row],[Cantidad]]*data[[#This Row],[Precio de Venta Cliente ($/Unid)]]</f>
        <v>1092.52</v>
      </c>
      <c r="S897" s="29"/>
      <c r="T897" s="109" t="s">
        <v>36</v>
      </c>
      <c r="U897" s="109"/>
      <c r="V897" s="30" t="s">
        <v>46</v>
      </c>
      <c r="W897" s="32" t="s">
        <v>46</v>
      </c>
      <c r="X897" s="106" t="s">
        <v>23</v>
      </c>
      <c r="Y897" s="106" t="s">
        <v>23</v>
      </c>
      <c r="Z897" s="106" t="s">
        <v>50</v>
      </c>
      <c r="AA897" s="109"/>
    </row>
    <row r="898" spans="2:27" s="105" customFormat="1" x14ac:dyDescent="0.25">
      <c r="B898" s="174"/>
      <c r="C898" s="174" t="str">
        <f>TEXT(data[[#This Row],[Fecha de Envío
Cotización]],"MMMM")</f>
        <v>junio</v>
      </c>
      <c r="D898" s="124">
        <v>44354</v>
      </c>
      <c r="E898" s="174" t="str">
        <f>IF(data[[#This Row],[Estatus de 
Cotización]]="PERDIDO","N/A","")</f>
        <v/>
      </c>
      <c r="F898" s="174"/>
      <c r="G898" s="109"/>
      <c r="H898" s="174"/>
      <c r="I898" s="86" t="s">
        <v>1964</v>
      </c>
      <c r="J898" s="106">
        <v>722</v>
      </c>
      <c r="K898" s="110" t="s">
        <v>283</v>
      </c>
      <c r="L898" s="106"/>
      <c r="M898" s="105" t="s">
        <v>1966</v>
      </c>
      <c r="N898" s="106">
        <v>1</v>
      </c>
      <c r="O898" s="107"/>
      <c r="P898" s="107">
        <v>3241.88</v>
      </c>
      <c r="Q898" s="28">
        <f>data[[#This Row],[Costo Producto
Proveedor ($/Unid)]]*data[[#This Row],[Cantidad]]</f>
        <v>0</v>
      </c>
      <c r="R898" s="28">
        <f>data[[#This Row],[Cantidad]]*data[[#This Row],[Precio de Venta Cliente ($/Unid)]]</f>
        <v>3241.88</v>
      </c>
      <c r="S898" s="29"/>
      <c r="T898" s="109" t="s">
        <v>16</v>
      </c>
      <c r="U898" s="109"/>
      <c r="V898" s="30" t="s">
        <v>46</v>
      </c>
      <c r="W898" s="32" t="s">
        <v>46</v>
      </c>
      <c r="X898" s="106" t="s">
        <v>23</v>
      </c>
      <c r="Y898" s="106" t="s">
        <v>23</v>
      </c>
      <c r="Z898" s="106" t="s">
        <v>50</v>
      </c>
      <c r="AA898" s="109"/>
    </row>
    <row r="899" spans="2:27" s="105" customFormat="1" x14ac:dyDescent="0.25">
      <c r="B899" s="174"/>
      <c r="C899" s="174" t="str">
        <f>TEXT(data[[#This Row],[Fecha de Envío
Cotización]],"MMMM")</f>
        <v>junio</v>
      </c>
      <c r="D899" s="124">
        <v>44350</v>
      </c>
      <c r="E899" s="174" t="str">
        <f>IF(data[[#This Row],[Estatus de 
Cotización]]="PERDIDO","N/A","")</f>
        <v/>
      </c>
      <c r="F899" s="174"/>
      <c r="G899" s="109"/>
      <c r="H899" s="174"/>
      <c r="I899" s="86" t="s">
        <v>1901</v>
      </c>
      <c r="J899" s="106">
        <v>700</v>
      </c>
      <c r="K899" s="110" t="s">
        <v>283</v>
      </c>
      <c r="L899" s="106"/>
      <c r="M899" s="105" t="s">
        <v>1902</v>
      </c>
      <c r="N899" s="106">
        <v>1</v>
      </c>
      <c r="O899" s="107"/>
      <c r="P899" s="107">
        <v>2789.62</v>
      </c>
      <c r="Q899" s="28">
        <f>data[[#This Row],[Costo Producto
Proveedor ($/Unid)]]*data[[#This Row],[Cantidad]]</f>
        <v>0</v>
      </c>
      <c r="R899" s="28">
        <f>data[[#This Row],[Cantidad]]*data[[#This Row],[Precio de Venta Cliente ($/Unid)]]</f>
        <v>2789.62</v>
      </c>
      <c r="S899" s="29"/>
      <c r="T899" s="109" t="s">
        <v>134</v>
      </c>
      <c r="U899" s="109"/>
      <c r="V899" s="30" t="s">
        <v>46</v>
      </c>
      <c r="W899" s="32" t="s">
        <v>46</v>
      </c>
      <c r="X899" s="106" t="s">
        <v>23</v>
      </c>
      <c r="Y899" s="106" t="s">
        <v>23</v>
      </c>
      <c r="Z899" s="106" t="s">
        <v>50</v>
      </c>
      <c r="AA899" s="109"/>
    </row>
    <row r="900" spans="2:27" s="105" customFormat="1" x14ac:dyDescent="0.25">
      <c r="B900" s="174"/>
      <c r="C900" s="174" t="str">
        <f>TEXT(data[[#This Row],[Fecha de Envío
Cotización]],"MMMM")</f>
        <v>mayo</v>
      </c>
      <c r="D900" s="124">
        <v>44337</v>
      </c>
      <c r="E900" s="174">
        <v>44365</v>
      </c>
      <c r="F900" s="174"/>
      <c r="G900" s="109" t="s">
        <v>2271</v>
      </c>
      <c r="H900" s="174">
        <v>44365</v>
      </c>
      <c r="I900" s="86">
        <v>12190148919</v>
      </c>
      <c r="J900" s="106">
        <v>581</v>
      </c>
      <c r="K900" s="110" t="s">
        <v>283</v>
      </c>
      <c r="L900" s="106"/>
      <c r="M900" s="108" t="s">
        <v>1693</v>
      </c>
      <c r="N900" s="106">
        <v>8</v>
      </c>
      <c r="O900" s="107"/>
      <c r="P900" s="107">
        <v>98.44</v>
      </c>
      <c r="Q900" s="28">
        <f>data[[#This Row],[Costo Producto
Proveedor ($/Unid)]]*data[[#This Row],[Cantidad]]</f>
        <v>0</v>
      </c>
      <c r="R900" s="28">
        <f>data[[#This Row],[Cantidad]]*data[[#This Row],[Precio de Venta Cliente ($/Unid)]]</f>
        <v>787.52</v>
      </c>
      <c r="S900" s="29"/>
      <c r="T900" s="109" t="s">
        <v>51</v>
      </c>
      <c r="U900" s="109"/>
      <c r="V900" s="30" t="s">
        <v>44</v>
      </c>
      <c r="W900" s="32" t="s">
        <v>44</v>
      </c>
      <c r="X900" s="106" t="s">
        <v>503</v>
      </c>
      <c r="Y900" s="106" t="s">
        <v>503</v>
      </c>
      <c r="Z900" s="106" t="s">
        <v>50</v>
      </c>
      <c r="AA900" s="109"/>
    </row>
    <row r="901" spans="2:27" s="105" customFormat="1" x14ac:dyDescent="0.25">
      <c r="B901" s="174"/>
      <c r="C901" s="174" t="str">
        <f>TEXT(data[[#This Row],[Fecha de Envío
Cotización]],"MMMM")</f>
        <v>mayo</v>
      </c>
      <c r="D901" s="174">
        <v>44330</v>
      </c>
      <c r="E901" s="174" t="str">
        <f>IF(data[[#This Row],[Estatus de 
Cotización]]="PERDIDO","N/A","")</f>
        <v/>
      </c>
      <c r="F901" s="174"/>
      <c r="G901" s="109"/>
      <c r="H901" s="174"/>
      <c r="I901" s="86">
        <v>511510018</v>
      </c>
      <c r="J901" s="106">
        <v>1575</v>
      </c>
      <c r="K901" s="110" t="s">
        <v>283</v>
      </c>
      <c r="L901" s="106"/>
      <c r="M901" s="108" t="s">
        <v>1483</v>
      </c>
      <c r="N901" s="106">
        <v>2</v>
      </c>
      <c r="O901" s="107"/>
      <c r="P901" s="107">
        <v>100.34</v>
      </c>
      <c r="Q901" s="28">
        <f>data[[#This Row],[Costo Producto
Proveedor ($/Unid)]]*data[[#This Row],[Cantidad]]</f>
        <v>0</v>
      </c>
      <c r="R901" s="28">
        <f>data[[#This Row],[Cantidad]]*data[[#This Row],[Precio de Venta Cliente ($/Unid)]]</f>
        <v>200.68</v>
      </c>
      <c r="S901" s="29"/>
      <c r="T901" s="109" t="s">
        <v>77</v>
      </c>
      <c r="U901" s="109"/>
      <c r="V901" s="30" t="s">
        <v>46</v>
      </c>
      <c r="W901" s="32" t="s">
        <v>46</v>
      </c>
      <c r="X901" s="106" t="s">
        <v>23</v>
      </c>
      <c r="Y901" s="106" t="s">
        <v>23</v>
      </c>
      <c r="Z901" s="106" t="s">
        <v>50</v>
      </c>
      <c r="AA901" s="109"/>
    </row>
    <row r="902" spans="2:27" s="105" customFormat="1" x14ac:dyDescent="0.25">
      <c r="B902" s="174"/>
      <c r="C902" s="174" t="str">
        <f>TEXT(data[[#This Row],[Fecha de Envío
Cotización]],"MMMM")</f>
        <v>junio</v>
      </c>
      <c r="D902" s="124">
        <v>44354</v>
      </c>
      <c r="E902" s="130">
        <v>44356</v>
      </c>
      <c r="F902" s="174">
        <v>44357</v>
      </c>
      <c r="G902" s="109">
        <v>5500025816</v>
      </c>
      <c r="H902" s="174">
        <v>44356</v>
      </c>
      <c r="I902" s="86">
        <v>12190152417</v>
      </c>
      <c r="J902" s="106">
        <v>719</v>
      </c>
      <c r="K902" s="110" t="s">
        <v>283</v>
      </c>
      <c r="L902" s="106"/>
      <c r="M902" s="105" t="s">
        <v>1927</v>
      </c>
      <c r="N902" s="106">
        <v>1</v>
      </c>
      <c r="O902" s="107"/>
      <c r="P902" s="107">
        <v>1270.56</v>
      </c>
      <c r="Q902" s="28">
        <f>data[[#This Row],[Costo Producto
Proveedor ($/Unid)]]*data[[#This Row],[Cantidad]]</f>
        <v>0</v>
      </c>
      <c r="R902" s="28">
        <f>data[[#This Row],[Cantidad]]*data[[#This Row],[Precio de Venta Cliente ($/Unid)]]</f>
        <v>1270.56</v>
      </c>
      <c r="S902" s="29"/>
      <c r="T902" s="109" t="s">
        <v>22</v>
      </c>
      <c r="U902" s="109"/>
      <c r="V902" s="30" t="s">
        <v>44</v>
      </c>
      <c r="W902" s="32" t="s">
        <v>44</v>
      </c>
      <c r="X902" s="106" t="s">
        <v>503</v>
      </c>
      <c r="Y902" s="106" t="s">
        <v>503</v>
      </c>
      <c r="Z902" s="106" t="s">
        <v>50</v>
      </c>
      <c r="AA902" s="109"/>
    </row>
    <row r="903" spans="2:27" s="105" customFormat="1" x14ac:dyDescent="0.25">
      <c r="B903" s="174"/>
      <c r="C903" s="174" t="str">
        <f>TEXT(data[[#This Row],[Fecha de Envío
Cotización]],"MMMM")</f>
        <v>junio</v>
      </c>
      <c r="D903" s="124">
        <v>44354</v>
      </c>
      <c r="E903" s="130">
        <v>44356</v>
      </c>
      <c r="F903" s="174">
        <v>44357</v>
      </c>
      <c r="G903" s="109">
        <v>5500025816</v>
      </c>
      <c r="H903" s="174">
        <v>44356</v>
      </c>
      <c r="I903" s="86">
        <v>12190149363</v>
      </c>
      <c r="J903" s="106">
        <v>719</v>
      </c>
      <c r="K903" s="110" t="s">
        <v>283</v>
      </c>
      <c r="L903" s="106"/>
      <c r="M903" s="105" t="s">
        <v>1928</v>
      </c>
      <c r="N903" s="106">
        <v>1</v>
      </c>
      <c r="O903" s="107"/>
      <c r="P903" s="107">
        <v>1329.92</v>
      </c>
      <c r="Q903" s="28">
        <f>data[[#This Row],[Costo Producto
Proveedor ($/Unid)]]*data[[#This Row],[Cantidad]]</f>
        <v>0</v>
      </c>
      <c r="R903" s="28">
        <f>data[[#This Row],[Cantidad]]*data[[#This Row],[Precio de Venta Cliente ($/Unid)]]</f>
        <v>1329.92</v>
      </c>
      <c r="S903" s="29"/>
      <c r="T903" s="109" t="s">
        <v>22</v>
      </c>
      <c r="U903" s="109"/>
      <c r="V903" s="30" t="s">
        <v>44</v>
      </c>
      <c r="W903" s="32" t="s">
        <v>44</v>
      </c>
      <c r="X903" s="106" t="s">
        <v>503</v>
      </c>
      <c r="Y903" s="106" t="s">
        <v>503</v>
      </c>
      <c r="Z903" s="106" t="s">
        <v>50</v>
      </c>
      <c r="AA903" s="109"/>
    </row>
    <row r="904" spans="2:27" s="105" customFormat="1" x14ac:dyDescent="0.25">
      <c r="B904" s="174"/>
      <c r="C904" s="174" t="str">
        <f>TEXT(data[[#This Row],[Fecha de Envío
Cotización]],"MMMM")</f>
        <v>junio</v>
      </c>
      <c r="D904" s="124">
        <v>44354</v>
      </c>
      <c r="E904" s="130">
        <v>44356</v>
      </c>
      <c r="F904" s="174">
        <v>44357</v>
      </c>
      <c r="G904" s="109">
        <v>5500025816</v>
      </c>
      <c r="H904" s="174">
        <v>44356</v>
      </c>
      <c r="I904" s="86">
        <v>12190150713</v>
      </c>
      <c r="J904" s="106">
        <v>719</v>
      </c>
      <c r="K904" s="110" t="s">
        <v>283</v>
      </c>
      <c r="L904" s="106"/>
      <c r="M904" s="105" t="s">
        <v>1929</v>
      </c>
      <c r="N904" s="106">
        <v>208</v>
      </c>
      <c r="O904" s="107"/>
      <c r="P904" s="107">
        <v>5.75</v>
      </c>
      <c r="Q904" s="28">
        <f>data[[#This Row],[Costo Producto
Proveedor ($/Unid)]]*data[[#This Row],[Cantidad]]</f>
        <v>0</v>
      </c>
      <c r="R904" s="28">
        <f>data[[#This Row],[Cantidad]]*data[[#This Row],[Precio de Venta Cliente ($/Unid)]]</f>
        <v>1196</v>
      </c>
      <c r="S904" s="29"/>
      <c r="T904" s="109" t="s">
        <v>22</v>
      </c>
      <c r="U904" s="109"/>
      <c r="V904" s="30" t="s">
        <v>44</v>
      </c>
      <c r="W904" s="32" t="s">
        <v>44</v>
      </c>
      <c r="X904" s="106" t="s">
        <v>503</v>
      </c>
      <c r="Y904" s="106" t="s">
        <v>503</v>
      </c>
      <c r="Z904" s="106" t="s">
        <v>50</v>
      </c>
      <c r="AA904" s="109"/>
    </row>
    <row r="905" spans="2:27" s="105" customFormat="1" x14ac:dyDescent="0.25">
      <c r="B905" s="174"/>
      <c r="C905" s="174" t="str">
        <f>TEXT(data[[#This Row],[Fecha de Envío
Cotización]],"MMMM")</f>
        <v>mayo</v>
      </c>
      <c r="D905" s="124">
        <v>44335</v>
      </c>
      <c r="E905" s="174" t="str">
        <f>IF(data[[#This Row],[Estatus de 
Cotización]]="PERDIDO","N/A","")</f>
        <v/>
      </c>
      <c r="F905" s="174"/>
      <c r="G905" s="109"/>
      <c r="H905" s="174"/>
      <c r="I905" s="86">
        <v>163438</v>
      </c>
      <c r="J905" s="106">
        <v>516</v>
      </c>
      <c r="K905" s="110" t="s">
        <v>283</v>
      </c>
      <c r="L905" s="106"/>
      <c r="M905" s="108" t="s">
        <v>1567</v>
      </c>
      <c r="N905" s="106">
        <v>3</v>
      </c>
      <c r="O905" s="107"/>
      <c r="P905" s="107">
        <v>1148.82</v>
      </c>
      <c r="Q905" s="28">
        <f>data[[#This Row],[Costo Producto
Proveedor ($/Unid)]]*data[[#This Row],[Cantidad]]</f>
        <v>0</v>
      </c>
      <c r="R905" s="28">
        <f>data[[#This Row],[Cantidad]]*data[[#This Row],[Precio de Venta Cliente ($/Unid)]]</f>
        <v>3446.46</v>
      </c>
      <c r="S905" s="29"/>
      <c r="T905" s="109" t="s">
        <v>73</v>
      </c>
      <c r="U905" s="109"/>
      <c r="V905" s="30" t="s">
        <v>46</v>
      </c>
      <c r="W905" s="32" t="s">
        <v>46</v>
      </c>
      <c r="X905" s="106" t="s">
        <v>23</v>
      </c>
      <c r="Y905" s="106" t="s">
        <v>23</v>
      </c>
      <c r="Z905" s="106" t="s">
        <v>50</v>
      </c>
      <c r="AA905" s="109"/>
    </row>
    <row r="906" spans="2:27" s="105" customFormat="1" ht="15.75" x14ac:dyDescent="0.25">
      <c r="B906" s="174"/>
      <c r="C906" s="174" t="s">
        <v>2403</v>
      </c>
      <c r="D906" s="174">
        <v>44371</v>
      </c>
      <c r="E906" s="174"/>
      <c r="F906" s="174"/>
      <c r="G906" s="109"/>
      <c r="H906" s="174"/>
      <c r="I906" s="86" t="s">
        <v>2404</v>
      </c>
      <c r="J906" s="87">
        <v>857</v>
      </c>
      <c r="K906" s="24" t="s">
        <v>283</v>
      </c>
      <c r="L906" s="106"/>
      <c r="M906" s="105" t="s">
        <v>2405</v>
      </c>
      <c r="N906" s="106">
        <v>3</v>
      </c>
      <c r="O906" s="107"/>
      <c r="P906" s="27">
        <v>8534.14</v>
      </c>
      <c r="Q906" s="28">
        <f>data[[#This Row],[Costo Producto
Proveedor ($/Unid)]]*data[[#This Row],[Cantidad]]</f>
        <v>0</v>
      </c>
      <c r="R906" s="28">
        <f>data[[#This Row],[Cantidad]]*data[[#This Row],[Precio de Venta Cliente ($/Unid)]]</f>
        <v>25602.42</v>
      </c>
      <c r="S906" s="29"/>
      <c r="T906" s="106" t="s">
        <v>124</v>
      </c>
      <c r="U906" s="106"/>
      <c r="V906" s="30" t="s">
        <v>46</v>
      </c>
      <c r="W906" s="174" t="s">
        <v>46</v>
      </c>
      <c r="X906" s="106" t="s">
        <v>503</v>
      </c>
      <c r="Y906" s="106" t="s">
        <v>503</v>
      </c>
      <c r="Z906" s="106" t="s">
        <v>50</v>
      </c>
      <c r="AA906" s="5"/>
    </row>
    <row r="907" spans="2:27" s="105" customFormat="1" x14ac:dyDescent="0.25">
      <c r="B907" s="174"/>
      <c r="C907" s="174" t="str">
        <f>TEXT(data[[#This Row],[Fecha de Envío
Cotización]],"MMMM")</f>
        <v>mayo</v>
      </c>
      <c r="D907" s="124">
        <v>44343</v>
      </c>
      <c r="E907" s="174" t="str">
        <f>IF(data[[#This Row],[Estatus de 
Cotización]]="PERDIDO","N/A","")</f>
        <v/>
      </c>
      <c r="F907" s="174"/>
      <c r="G907" s="109"/>
      <c r="H907" s="174"/>
      <c r="I907" s="86" t="s">
        <v>1742</v>
      </c>
      <c r="J907" s="106">
        <v>659</v>
      </c>
      <c r="K907" s="110" t="s">
        <v>283</v>
      </c>
      <c r="L907" s="106"/>
      <c r="M907" s="108" t="s">
        <v>1741</v>
      </c>
      <c r="N907" s="106">
        <v>5000</v>
      </c>
      <c r="O907" s="107"/>
      <c r="P907" s="107">
        <v>7.8</v>
      </c>
      <c r="Q907" s="28">
        <f>data[[#This Row],[Costo Producto
Proveedor ($/Unid)]]*data[[#This Row],[Cantidad]]</f>
        <v>0</v>
      </c>
      <c r="R907" s="28">
        <f>data[[#This Row],[Cantidad]]*data[[#This Row],[Precio de Venta Cliente ($/Unid)]]</f>
        <v>39000</v>
      </c>
      <c r="S907" s="29"/>
      <c r="T907" s="109" t="s">
        <v>1740</v>
      </c>
      <c r="U907" s="109"/>
      <c r="V907" s="30" t="s">
        <v>46</v>
      </c>
      <c r="W907" s="32" t="s">
        <v>46</v>
      </c>
      <c r="X907" s="106" t="s">
        <v>23</v>
      </c>
      <c r="Y907" s="106" t="s">
        <v>23</v>
      </c>
      <c r="Z907" s="106" t="s">
        <v>50</v>
      </c>
      <c r="AA907" s="109"/>
    </row>
    <row r="908" spans="2:27" s="105" customFormat="1" x14ac:dyDescent="0.25">
      <c r="B908" s="174"/>
      <c r="C908" s="174" t="str">
        <f>TEXT(data[[#This Row],[Fecha de Envío
Cotización]],"MMMM")</f>
        <v>junio</v>
      </c>
      <c r="D908" s="124">
        <v>44354</v>
      </c>
      <c r="E908" s="174" t="str">
        <f>IF(data[[#This Row],[Estatus de 
Cotización]]="PERDIDO","N/A","")</f>
        <v/>
      </c>
      <c r="F908" s="174"/>
      <c r="G908" s="109"/>
      <c r="H908" s="174"/>
      <c r="I908" s="86">
        <v>7980937</v>
      </c>
      <c r="J908" s="106">
        <v>730</v>
      </c>
      <c r="K908" s="110" t="s">
        <v>33</v>
      </c>
      <c r="L908" s="106"/>
      <c r="M908" s="105" t="s">
        <v>1976</v>
      </c>
      <c r="N908" s="106">
        <v>1</v>
      </c>
      <c r="O908" s="107"/>
      <c r="P908" s="107">
        <v>586.5</v>
      </c>
      <c r="Q908" s="28">
        <f>data[[#This Row],[Costo Producto
Proveedor ($/Unid)]]*data[[#This Row],[Cantidad]]</f>
        <v>0</v>
      </c>
      <c r="R908" s="28">
        <f>data[[#This Row],[Cantidad]]*data[[#This Row],[Precio de Venta Cliente ($/Unid)]]</f>
        <v>586.5</v>
      </c>
      <c r="S908" s="29"/>
      <c r="T908" s="109" t="s">
        <v>134</v>
      </c>
      <c r="U908" s="109"/>
      <c r="V908" s="30" t="s">
        <v>46</v>
      </c>
      <c r="W908" s="32" t="s">
        <v>46</v>
      </c>
      <c r="X908" s="106" t="s">
        <v>23</v>
      </c>
      <c r="Y908" s="106" t="s">
        <v>23</v>
      </c>
      <c r="Z908" s="106" t="s">
        <v>50</v>
      </c>
      <c r="AA908" s="109"/>
    </row>
    <row r="909" spans="2:27" s="105" customFormat="1" x14ac:dyDescent="0.25">
      <c r="B909" s="174"/>
      <c r="C909" s="174" t="str">
        <f>TEXT(data[[#This Row],[Fecha de Envío
Cotización]],"MMMM")</f>
        <v>junio</v>
      </c>
      <c r="D909" s="124">
        <v>44354</v>
      </c>
      <c r="E909" s="174" t="str">
        <f>IF(data[[#This Row],[Estatus de 
Cotización]]="PERDIDO","N/A","")</f>
        <v/>
      </c>
      <c r="F909" s="174"/>
      <c r="G909" s="109"/>
      <c r="H909" s="174"/>
      <c r="I909" s="86">
        <v>7980938</v>
      </c>
      <c r="J909" s="106">
        <v>730</v>
      </c>
      <c r="K909" s="110" t="s">
        <v>33</v>
      </c>
      <c r="L909" s="106"/>
      <c r="M909" s="105" t="s">
        <v>1977</v>
      </c>
      <c r="N909" s="106">
        <v>1</v>
      </c>
      <c r="O909" s="107"/>
      <c r="P909" s="107">
        <v>760.92</v>
      </c>
      <c r="Q909" s="28">
        <f>data[[#This Row],[Costo Producto
Proveedor ($/Unid)]]*data[[#This Row],[Cantidad]]</f>
        <v>0</v>
      </c>
      <c r="R909" s="28">
        <f>data[[#This Row],[Cantidad]]*data[[#This Row],[Precio de Venta Cliente ($/Unid)]]</f>
        <v>760.92</v>
      </c>
      <c r="S909" s="29"/>
      <c r="T909" s="109" t="s">
        <v>134</v>
      </c>
      <c r="U909" s="109"/>
      <c r="V909" s="30" t="s">
        <v>46</v>
      </c>
      <c r="W909" s="32" t="s">
        <v>46</v>
      </c>
      <c r="X909" s="106" t="s">
        <v>23</v>
      </c>
      <c r="Y909" s="106" t="s">
        <v>23</v>
      </c>
      <c r="Z909" s="106" t="s">
        <v>50</v>
      </c>
      <c r="AA909" s="109"/>
    </row>
    <row r="910" spans="2:27" s="105" customFormat="1" x14ac:dyDescent="0.25">
      <c r="B910" s="174"/>
      <c r="C910" s="174" t="str">
        <f>TEXT(data[[#This Row],[Fecha de Envío
Cotización]],"MMMM")</f>
        <v>junio</v>
      </c>
      <c r="D910" s="124">
        <v>44354</v>
      </c>
      <c r="E910" s="174" t="str">
        <f>IF(data[[#This Row],[Estatus de 
Cotización]]="PERDIDO","N/A","")</f>
        <v/>
      </c>
      <c r="F910" s="174"/>
      <c r="G910" s="109"/>
      <c r="H910" s="174"/>
      <c r="I910" s="86" t="s">
        <v>1973</v>
      </c>
      <c r="J910" s="106">
        <v>730</v>
      </c>
      <c r="K910" s="110" t="s">
        <v>33</v>
      </c>
      <c r="L910" s="106"/>
      <c r="M910" s="105" t="s">
        <v>1978</v>
      </c>
      <c r="N910" s="106">
        <v>1</v>
      </c>
      <c r="O910" s="107"/>
      <c r="P910" s="107">
        <v>507.5</v>
      </c>
      <c r="Q910" s="28">
        <f>data[[#This Row],[Costo Producto
Proveedor ($/Unid)]]*data[[#This Row],[Cantidad]]</f>
        <v>0</v>
      </c>
      <c r="R910" s="28">
        <f>data[[#This Row],[Cantidad]]*data[[#This Row],[Precio de Venta Cliente ($/Unid)]]</f>
        <v>507.5</v>
      </c>
      <c r="S910" s="29"/>
      <c r="T910" s="109" t="s">
        <v>134</v>
      </c>
      <c r="U910" s="109"/>
      <c r="V910" s="30" t="s">
        <v>46</v>
      </c>
      <c r="W910" s="32" t="s">
        <v>46</v>
      </c>
      <c r="X910" s="106" t="s">
        <v>23</v>
      </c>
      <c r="Y910" s="106" t="s">
        <v>23</v>
      </c>
      <c r="Z910" s="106" t="s">
        <v>50</v>
      </c>
      <c r="AA910" s="109"/>
    </row>
    <row r="911" spans="2:27" s="105" customFormat="1" x14ac:dyDescent="0.25">
      <c r="B911" s="174"/>
      <c r="C911" s="174" t="str">
        <f>TEXT(data[[#This Row],[Fecha de Envío
Cotización]],"MMMM")</f>
        <v>junio</v>
      </c>
      <c r="D911" s="124">
        <v>44354</v>
      </c>
      <c r="E911" s="174" t="str">
        <f>IF(data[[#This Row],[Estatus de 
Cotización]]="PERDIDO","N/A","")</f>
        <v/>
      </c>
      <c r="F911" s="174"/>
      <c r="G911" s="109"/>
      <c r="H911" s="174"/>
      <c r="I911" s="86" t="s">
        <v>1974</v>
      </c>
      <c r="J911" s="106">
        <v>730</v>
      </c>
      <c r="K911" s="110" t="s">
        <v>33</v>
      </c>
      <c r="L911" s="106"/>
      <c r="M911" s="105" t="s">
        <v>1979</v>
      </c>
      <c r="N911" s="106">
        <v>1</v>
      </c>
      <c r="O911" s="107"/>
      <c r="P911" s="107">
        <v>535.20000000000005</v>
      </c>
      <c r="Q911" s="28">
        <f>data[[#This Row],[Costo Producto
Proveedor ($/Unid)]]*data[[#This Row],[Cantidad]]</f>
        <v>0</v>
      </c>
      <c r="R911" s="28">
        <f>data[[#This Row],[Cantidad]]*data[[#This Row],[Precio de Venta Cliente ($/Unid)]]</f>
        <v>535.20000000000005</v>
      </c>
      <c r="S911" s="29"/>
      <c r="T911" s="109" t="s">
        <v>134</v>
      </c>
      <c r="U911" s="109"/>
      <c r="V911" s="30" t="s">
        <v>46</v>
      </c>
      <c r="W911" s="32" t="s">
        <v>46</v>
      </c>
      <c r="X911" s="106" t="s">
        <v>23</v>
      </c>
      <c r="Y911" s="106" t="s">
        <v>23</v>
      </c>
      <c r="Z911" s="106" t="s">
        <v>50</v>
      </c>
      <c r="AA911" s="109"/>
    </row>
    <row r="912" spans="2:27" s="105" customFormat="1" x14ac:dyDescent="0.25">
      <c r="B912" s="174"/>
      <c r="C912" s="174" t="str">
        <f>TEXT(data[[#This Row],[Fecha de Envío
Cotización]],"MMMM")</f>
        <v>junio</v>
      </c>
      <c r="D912" s="124">
        <v>44354</v>
      </c>
      <c r="E912" s="174" t="str">
        <f>IF(data[[#This Row],[Estatus de 
Cotización]]="PERDIDO","N/A","")</f>
        <v/>
      </c>
      <c r="F912" s="174"/>
      <c r="G912" s="109"/>
      <c r="H912" s="174"/>
      <c r="I912" s="86" t="s">
        <v>1975</v>
      </c>
      <c r="J912" s="106">
        <v>730</v>
      </c>
      <c r="K912" s="110" t="s">
        <v>33</v>
      </c>
      <c r="L912" s="106"/>
      <c r="M912" s="105" t="s">
        <v>1980</v>
      </c>
      <c r="N912" s="106">
        <v>1</v>
      </c>
      <c r="O912" s="107"/>
      <c r="P912" s="107">
        <v>541.12</v>
      </c>
      <c r="Q912" s="28">
        <f>data[[#This Row],[Costo Producto
Proveedor ($/Unid)]]*data[[#This Row],[Cantidad]]</f>
        <v>0</v>
      </c>
      <c r="R912" s="28">
        <f>data[[#This Row],[Cantidad]]*data[[#This Row],[Precio de Venta Cliente ($/Unid)]]</f>
        <v>541.12</v>
      </c>
      <c r="S912" s="29"/>
      <c r="T912" s="109" t="s">
        <v>134</v>
      </c>
      <c r="U912" s="109"/>
      <c r="V912" s="30" t="s">
        <v>46</v>
      </c>
      <c r="W912" s="32" t="s">
        <v>46</v>
      </c>
      <c r="X912" s="106" t="s">
        <v>23</v>
      </c>
      <c r="Y912" s="106" t="s">
        <v>23</v>
      </c>
      <c r="Z912" s="106" t="s">
        <v>50</v>
      </c>
      <c r="AA912" s="109"/>
    </row>
    <row r="913" spans="2:27" s="105" customFormat="1" x14ac:dyDescent="0.25">
      <c r="B913" s="174"/>
      <c r="C913" s="174" t="str">
        <f>TEXT(data[[#This Row],[Fecha de Envío
Cotización]],"MMMM")</f>
        <v>junio</v>
      </c>
      <c r="D913" s="124">
        <v>44354</v>
      </c>
      <c r="E913" s="174" t="str">
        <f>IF(data[[#This Row],[Estatus de 
Cotización]]="PERDIDO","N/A","")</f>
        <v/>
      </c>
      <c r="F913" s="174"/>
      <c r="G913" s="109"/>
      <c r="H913" s="174"/>
      <c r="I913" s="86">
        <v>7980931</v>
      </c>
      <c r="J913" s="106">
        <v>730</v>
      </c>
      <c r="K913" s="110" t="s">
        <v>33</v>
      </c>
      <c r="L913" s="106"/>
      <c r="M913" s="105" t="s">
        <v>1981</v>
      </c>
      <c r="N913" s="106">
        <v>1</v>
      </c>
      <c r="O913" s="107"/>
      <c r="P913" s="107">
        <v>605.77</v>
      </c>
      <c r="Q913" s="28">
        <f>data[[#This Row],[Costo Producto
Proveedor ($/Unid)]]*data[[#This Row],[Cantidad]]</f>
        <v>0</v>
      </c>
      <c r="R913" s="28">
        <f>data[[#This Row],[Cantidad]]*data[[#This Row],[Precio de Venta Cliente ($/Unid)]]</f>
        <v>605.77</v>
      </c>
      <c r="S913" s="29"/>
      <c r="T913" s="109" t="s">
        <v>134</v>
      </c>
      <c r="U913" s="109"/>
      <c r="V913" s="30" t="s">
        <v>46</v>
      </c>
      <c r="W913" s="32" t="s">
        <v>46</v>
      </c>
      <c r="X913" s="106" t="s">
        <v>23</v>
      </c>
      <c r="Y913" s="106" t="s">
        <v>23</v>
      </c>
      <c r="Z913" s="106" t="s">
        <v>50</v>
      </c>
      <c r="AA913" s="109"/>
    </row>
    <row r="914" spans="2:27" s="105" customFormat="1" x14ac:dyDescent="0.25">
      <c r="B914" s="174"/>
      <c r="C914" s="174" t="str">
        <f>TEXT(data[[#This Row],[Fecha de Envío
Cotización]],"MMMM")</f>
        <v>junio</v>
      </c>
      <c r="D914" s="124">
        <v>44354</v>
      </c>
      <c r="E914" s="174" t="str">
        <f>IF(data[[#This Row],[Estatus de 
Cotización]]="PERDIDO","N/A","")</f>
        <v/>
      </c>
      <c r="F914" s="174"/>
      <c r="G914" s="109"/>
      <c r="H914" s="174"/>
      <c r="I914" s="86">
        <v>7980932</v>
      </c>
      <c r="J914" s="106">
        <v>730</v>
      </c>
      <c r="K914" s="110" t="s">
        <v>33</v>
      </c>
      <c r="L914" s="106"/>
      <c r="M914" s="105" t="s">
        <v>1982</v>
      </c>
      <c r="N914" s="106">
        <v>1</v>
      </c>
      <c r="O914" s="107"/>
      <c r="P914" s="107">
        <v>1403.2</v>
      </c>
      <c r="Q914" s="28">
        <f>data[[#This Row],[Costo Producto
Proveedor ($/Unid)]]*data[[#This Row],[Cantidad]]</f>
        <v>0</v>
      </c>
      <c r="R914" s="28">
        <f>data[[#This Row],[Cantidad]]*data[[#This Row],[Precio de Venta Cliente ($/Unid)]]</f>
        <v>1403.2</v>
      </c>
      <c r="S914" s="29"/>
      <c r="T914" s="109" t="s">
        <v>134</v>
      </c>
      <c r="U914" s="109"/>
      <c r="V914" s="30" t="s">
        <v>46</v>
      </c>
      <c r="W914" s="32" t="s">
        <v>46</v>
      </c>
      <c r="X914" s="106" t="s">
        <v>23</v>
      </c>
      <c r="Y914" s="106" t="s">
        <v>23</v>
      </c>
      <c r="Z914" s="106" t="s">
        <v>50</v>
      </c>
      <c r="AA914" s="109"/>
    </row>
    <row r="915" spans="2:27" s="105" customFormat="1" x14ac:dyDescent="0.25">
      <c r="B915" s="174"/>
      <c r="C915" s="174" t="str">
        <f>TEXT(data[[#This Row],[Fecha de Envío
Cotización]],"MMMM")</f>
        <v>mayo</v>
      </c>
      <c r="D915" s="124">
        <v>44343</v>
      </c>
      <c r="E915" s="174" t="str">
        <f>IF(data[[#This Row],[Estatus de 
Cotización]]="PERDIDO","N/A","")</f>
        <v/>
      </c>
      <c r="F915" s="174"/>
      <c r="G915" s="109"/>
      <c r="H915" s="174"/>
      <c r="I915" s="86" t="s">
        <v>1743</v>
      </c>
      <c r="J915" s="106">
        <v>659</v>
      </c>
      <c r="K915" s="110" t="s">
        <v>283</v>
      </c>
      <c r="L915" s="106"/>
      <c r="M915" s="108" t="s">
        <v>1741</v>
      </c>
      <c r="N915" s="106">
        <v>7200</v>
      </c>
      <c r="O915" s="107"/>
      <c r="P915" s="107">
        <v>7.8</v>
      </c>
      <c r="Q915" s="28">
        <f>data[[#This Row],[Costo Producto
Proveedor ($/Unid)]]*data[[#This Row],[Cantidad]]</f>
        <v>0</v>
      </c>
      <c r="R915" s="28">
        <f>data[[#This Row],[Cantidad]]*data[[#This Row],[Precio de Venta Cliente ($/Unid)]]</f>
        <v>56160</v>
      </c>
      <c r="S915" s="29"/>
      <c r="T915" s="109" t="s">
        <v>1740</v>
      </c>
      <c r="U915" s="109"/>
      <c r="V915" s="30" t="s">
        <v>46</v>
      </c>
      <c r="W915" s="32" t="s">
        <v>46</v>
      </c>
      <c r="X915" s="106" t="s">
        <v>23</v>
      </c>
      <c r="Y915" s="106" t="s">
        <v>23</v>
      </c>
      <c r="Z915" s="106" t="s">
        <v>50</v>
      </c>
      <c r="AA915" s="109"/>
    </row>
    <row r="916" spans="2:27" s="105" customFormat="1" x14ac:dyDescent="0.25">
      <c r="B916" s="174"/>
      <c r="C916" s="174" t="str">
        <f>TEXT(data[[#This Row],[Fecha de Envío
Cotización]],"MMMM")</f>
        <v>junio</v>
      </c>
      <c r="D916" s="124">
        <v>44354</v>
      </c>
      <c r="E916" s="174" t="str">
        <f>IF(data[[#This Row],[Estatus de 
Cotización]]="PERDIDO","N/A","")</f>
        <v/>
      </c>
      <c r="F916" s="174"/>
      <c r="G916" s="109"/>
      <c r="H916" s="174"/>
      <c r="I916" s="86"/>
      <c r="J916" s="106">
        <v>733</v>
      </c>
      <c r="K916" s="110" t="s">
        <v>33</v>
      </c>
      <c r="L916" s="106"/>
      <c r="M916" s="105" t="s">
        <v>1989</v>
      </c>
      <c r="N916" s="106">
        <v>1</v>
      </c>
      <c r="O916" s="107"/>
      <c r="P916" s="107">
        <v>1552.34</v>
      </c>
      <c r="Q916" s="28">
        <f>data[[#This Row],[Costo Producto
Proveedor ($/Unid)]]*data[[#This Row],[Cantidad]]</f>
        <v>0</v>
      </c>
      <c r="R916" s="28">
        <f>data[[#This Row],[Cantidad]]*data[[#This Row],[Precio de Venta Cliente ($/Unid)]]</f>
        <v>1552.34</v>
      </c>
      <c r="S916" s="29"/>
      <c r="T916" s="109" t="s">
        <v>127</v>
      </c>
      <c r="U916" s="109"/>
      <c r="V916" s="30" t="s">
        <v>46</v>
      </c>
      <c r="W916" s="32" t="s">
        <v>46</v>
      </c>
      <c r="X916" s="106" t="s">
        <v>23</v>
      </c>
      <c r="Y916" s="106" t="s">
        <v>23</v>
      </c>
      <c r="Z916" s="106" t="s">
        <v>50</v>
      </c>
      <c r="AA916" s="109"/>
    </row>
    <row r="917" spans="2:27" s="105" customFormat="1" x14ac:dyDescent="0.25">
      <c r="B917" s="174"/>
      <c r="C917" s="174" t="str">
        <f>TEXT(data[[#This Row],[Fecha de Envío
Cotización]],"MMMM")</f>
        <v>junio</v>
      </c>
      <c r="D917" s="124">
        <v>44355</v>
      </c>
      <c r="E917" s="174" t="str">
        <f>IF(data[[#This Row],[Estatus de 
Cotización]]="PERDIDO","N/A","")</f>
        <v/>
      </c>
      <c r="F917" s="174"/>
      <c r="G917" s="109"/>
      <c r="H917" s="174"/>
      <c r="I917" s="86">
        <v>164101</v>
      </c>
      <c r="J917" s="106">
        <v>734</v>
      </c>
      <c r="K917" s="110" t="s">
        <v>1109</v>
      </c>
      <c r="L917" s="106"/>
      <c r="M917" s="105" t="s">
        <v>1990</v>
      </c>
      <c r="N917" s="106">
        <v>2</v>
      </c>
      <c r="O917" s="107"/>
      <c r="P917" s="107">
        <v>277.89999999999998</v>
      </c>
      <c r="Q917" s="28">
        <f>data[[#This Row],[Costo Producto
Proveedor ($/Unid)]]*data[[#This Row],[Cantidad]]</f>
        <v>0</v>
      </c>
      <c r="R917" s="28">
        <f>data[[#This Row],[Cantidad]]*data[[#This Row],[Precio de Venta Cliente ($/Unid)]]</f>
        <v>555.79999999999995</v>
      </c>
      <c r="S917" s="29"/>
      <c r="T917" s="109" t="s">
        <v>16</v>
      </c>
      <c r="U917" s="109"/>
      <c r="V917" s="30" t="s">
        <v>46</v>
      </c>
      <c r="W917" s="32" t="s">
        <v>46</v>
      </c>
      <c r="X917" s="106" t="s">
        <v>23</v>
      </c>
      <c r="Y917" s="106" t="s">
        <v>23</v>
      </c>
      <c r="Z917" s="106" t="s">
        <v>50</v>
      </c>
      <c r="AA917" s="109"/>
    </row>
    <row r="918" spans="2:27" s="105" customFormat="1" x14ac:dyDescent="0.25">
      <c r="B918" s="174"/>
      <c r="C918" s="174" t="str">
        <f>TEXT(data[[#This Row],[Fecha de Envío
Cotización]],"MMMM")</f>
        <v>junio</v>
      </c>
      <c r="D918" s="124">
        <v>44355</v>
      </c>
      <c r="E918" s="174" t="str">
        <f>IF(data[[#This Row],[Estatus de 
Cotización]]="PERDIDO","N/A","")</f>
        <v/>
      </c>
      <c r="F918" s="174"/>
      <c r="G918" s="109"/>
      <c r="H918" s="174"/>
      <c r="I918" s="86">
        <v>164102</v>
      </c>
      <c r="J918" s="106">
        <v>734</v>
      </c>
      <c r="K918" s="110" t="s">
        <v>1109</v>
      </c>
      <c r="L918" s="106"/>
      <c r="M918" s="105" t="s">
        <v>1991</v>
      </c>
      <c r="N918" s="106">
        <v>2</v>
      </c>
      <c r="O918" s="107"/>
      <c r="P918" s="107">
        <v>287.12</v>
      </c>
      <c r="Q918" s="28">
        <f>data[[#This Row],[Costo Producto
Proveedor ($/Unid)]]*data[[#This Row],[Cantidad]]</f>
        <v>0</v>
      </c>
      <c r="R918" s="28">
        <f>data[[#This Row],[Cantidad]]*data[[#This Row],[Precio de Venta Cliente ($/Unid)]]</f>
        <v>574.24</v>
      </c>
      <c r="S918" s="29"/>
      <c r="T918" s="109" t="s">
        <v>16</v>
      </c>
      <c r="U918" s="109"/>
      <c r="V918" s="30" t="s">
        <v>46</v>
      </c>
      <c r="W918" s="32" t="s">
        <v>46</v>
      </c>
      <c r="X918" s="106" t="s">
        <v>23</v>
      </c>
      <c r="Y918" s="106" t="s">
        <v>23</v>
      </c>
      <c r="Z918" s="106" t="s">
        <v>50</v>
      </c>
      <c r="AA918" s="109"/>
    </row>
    <row r="919" spans="2:27" s="105" customFormat="1" x14ac:dyDescent="0.25">
      <c r="B919" s="174"/>
      <c r="C919" s="174" t="str">
        <f>TEXT(data[[#This Row],[Fecha de Envío
Cotización]],"MMMM")</f>
        <v>junio</v>
      </c>
      <c r="D919" s="124">
        <v>44355</v>
      </c>
      <c r="E919" s="174" t="str">
        <f>IF(data[[#This Row],[Estatus de 
Cotización]]="PERDIDO","N/A","")</f>
        <v/>
      </c>
      <c r="F919" s="174"/>
      <c r="G919" s="109"/>
      <c r="H919" s="174"/>
      <c r="I919" s="86">
        <v>164103</v>
      </c>
      <c r="J919" s="106">
        <v>734</v>
      </c>
      <c r="K919" s="110" t="s">
        <v>1109</v>
      </c>
      <c r="L919" s="106"/>
      <c r="M919" s="105" t="s">
        <v>1992</v>
      </c>
      <c r="N919" s="106">
        <v>2</v>
      </c>
      <c r="O919" s="107"/>
      <c r="P919" s="107">
        <v>347.94</v>
      </c>
      <c r="Q919" s="28">
        <f>data[[#This Row],[Costo Producto
Proveedor ($/Unid)]]*data[[#This Row],[Cantidad]]</f>
        <v>0</v>
      </c>
      <c r="R919" s="28">
        <f>data[[#This Row],[Cantidad]]*data[[#This Row],[Precio de Venta Cliente ($/Unid)]]</f>
        <v>695.88</v>
      </c>
      <c r="S919" s="29"/>
      <c r="T919" s="109" t="s">
        <v>16</v>
      </c>
      <c r="U919" s="109"/>
      <c r="V919" s="30" t="s">
        <v>46</v>
      </c>
      <c r="W919" s="32" t="s">
        <v>46</v>
      </c>
      <c r="X919" s="106" t="s">
        <v>23</v>
      </c>
      <c r="Y919" s="106" t="s">
        <v>23</v>
      </c>
      <c r="Z919" s="106" t="s">
        <v>50</v>
      </c>
      <c r="AA919" s="109"/>
    </row>
    <row r="920" spans="2:27" s="105" customFormat="1" x14ac:dyDescent="0.25">
      <c r="B920" s="174"/>
      <c r="C920" s="174" t="str">
        <f>TEXT(data[[#This Row],[Fecha de Envío
Cotización]],"MMMM")</f>
        <v>junio</v>
      </c>
      <c r="D920" s="124">
        <v>44355</v>
      </c>
      <c r="E920" s="174" t="str">
        <f>IF(data[[#This Row],[Estatus de 
Cotización]]="PERDIDO","N/A","")</f>
        <v/>
      </c>
      <c r="F920" s="174"/>
      <c r="G920" s="109"/>
      <c r="H920" s="174"/>
      <c r="I920" s="86">
        <v>163519</v>
      </c>
      <c r="J920" s="106">
        <v>735</v>
      </c>
      <c r="K920" s="110" t="s">
        <v>1109</v>
      </c>
      <c r="L920" s="106"/>
      <c r="M920" s="105" t="s">
        <v>1993</v>
      </c>
      <c r="N920" s="106">
        <v>1</v>
      </c>
      <c r="O920" s="107"/>
      <c r="P920" s="107">
        <v>695.12</v>
      </c>
      <c r="Q920" s="28">
        <f>data[[#This Row],[Costo Producto
Proveedor ($/Unid)]]*data[[#This Row],[Cantidad]]</f>
        <v>0</v>
      </c>
      <c r="R920" s="28">
        <f>data[[#This Row],[Cantidad]]*data[[#This Row],[Precio de Venta Cliente ($/Unid)]]</f>
        <v>695.12</v>
      </c>
      <c r="S920" s="29"/>
      <c r="T920" s="109" t="s">
        <v>16</v>
      </c>
      <c r="U920" s="109"/>
      <c r="V920" s="30" t="s">
        <v>473</v>
      </c>
      <c r="W920" s="32" t="s">
        <v>473</v>
      </c>
      <c r="X920" s="106" t="s">
        <v>23</v>
      </c>
      <c r="Y920" s="106" t="s">
        <v>23</v>
      </c>
      <c r="Z920" s="106" t="s">
        <v>50</v>
      </c>
      <c r="AA920" s="109"/>
    </row>
    <row r="921" spans="2:27" s="105" customFormat="1" x14ac:dyDescent="0.25">
      <c r="B921" s="174"/>
      <c r="C921" s="174" t="str">
        <f>TEXT(data[[#This Row],[Fecha de Envío
Cotización]],"MMMM")</f>
        <v>junio</v>
      </c>
      <c r="D921" s="124">
        <v>44355</v>
      </c>
      <c r="E921" s="174" t="str">
        <f>IF(data[[#This Row],[Estatus de 
Cotización]]="PERDIDO","N/A","")</f>
        <v/>
      </c>
      <c r="F921" s="174"/>
      <c r="G921" s="109"/>
      <c r="H921" s="174"/>
      <c r="I921" s="86">
        <v>163519</v>
      </c>
      <c r="J921" s="106">
        <v>735</v>
      </c>
      <c r="K921" s="110" t="s">
        <v>1109</v>
      </c>
      <c r="L921" s="106"/>
      <c r="M921" s="105" t="s">
        <v>1993</v>
      </c>
      <c r="N921" s="106">
        <v>1</v>
      </c>
      <c r="O921" s="107"/>
      <c r="P921" s="107">
        <v>695.12</v>
      </c>
      <c r="Q921" s="28">
        <f>data[[#This Row],[Costo Producto
Proveedor ($/Unid)]]*data[[#This Row],[Cantidad]]</f>
        <v>0</v>
      </c>
      <c r="R921" s="28">
        <f>data[[#This Row],[Cantidad]]*data[[#This Row],[Precio de Venta Cliente ($/Unid)]]</f>
        <v>695.12</v>
      </c>
      <c r="S921" s="29"/>
      <c r="T921" s="109" t="s">
        <v>16</v>
      </c>
      <c r="U921" s="109"/>
      <c r="V921" s="30" t="s">
        <v>473</v>
      </c>
      <c r="W921" s="32" t="s">
        <v>473</v>
      </c>
      <c r="X921" s="106" t="s">
        <v>23</v>
      </c>
      <c r="Y921" s="106" t="s">
        <v>23</v>
      </c>
      <c r="Z921" s="106" t="s">
        <v>50</v>
      </c>
      <c r="AA921" s="109"/>
    </row>
    <row r="922" spans="2:27" s="105" customFormat="1" x14ac:dyDescent="0.25">
      <c r="B922" s="174"/>
      <c r="C922" s="174" t="str">
        <f>TEXT(data[[#This Row],[Fecha de Envío
Cotización]],"MMMM")</f>
        <v>junio</v>
      </c>
      <c r="D922" s="124">
        <v>44355</v>
      </c>
      <c r="E922" s="174" t="str">
        <f>IF(data[[#This Row],[Estatus de 
Cotización]]="PERDIDO","N/A","")</f>
        <v/>
      </c>
      <c r="F922" s="174"/>
      <c r="G922" s="109"/>
      <c r="H922" s="174"/>
      <c r="I922" s="86">
        <v>163519</v>
      </c>
      <c r="J922" s="106">
        <v>735</v>
      </c>
      <c r="K922" s="110" t="s">
        <v>1109</v>
      </c>
      <c r="L922" s="106"/>
      <c r="M922" s="105" t="s">
        <v>1993</v>
      </c>
      <c r="N922" s="106">
        <v>1</v>
      </c>
      <c r="O922" s="107"/>
      <c r="P922" s="107">
        <v>695.12</v>
      </c>
      <c r="Q922" s="28">
        <f>data[[#This Row],[Costo Producto
Proveedor ($/Unid)]]*data[[#This Row],[Cantidad]]</f>
        <v>0</v>
      </c>
      <c r="R922" s="28">
        <f>data[[#This Row],[Cantidad]]*data[[#This Row],[Precio de Venta Cliente ($/Unid)]]</f>
        <v>695.12</v>
      </c>
      <c r="S922" s="29"/>
      <c r="T922" s="109" t="s">
        <v>16</v>
      </c>
      <c r="U922" s="109"/>
      <c r="V922" s="30" t="s">
        <v>473</v>
      </c>
      <c r="W922" s="32" t="s">
        <v>473</v>
      </c>
      <c r="X922" s="106" t="s">
        <v>23</v>
      </c>
      <c r="Y922" s="106" t="s">
        <v>23</v>
      </c>
      <c r="Z922" s="106" t="s">
        <v>50</v>
      </c>
      <c r="AA922" s="109"/>
    </row>
    <row r="923" spans="2:27" s="105" customFormat="1" x14ac:dyDescent="0.25">
      <c r="B923" s="174"/>
      <c r="C923" s="174" t="str">
        <f>TEXT(data[[#This Row],[Fecha de Envío
Cotización]],"MMMM")</f>
        <v>junio</v>
      </c>
      <c r="D923" s="124">
        <v>44356</v>
      </c>
      <c r="E923" s="130">
        <v>44356</v>
      </c>
      <c r="F923" s="174">
        <v>44357</v>
      </c>
      <c r="G923" s="109">
        <v>5500025814</v>
      </c>
      <c r="H923" s="174">
        <v>44356</v>
      </c>
      <c r="I923" s="86">
        <v>12190150451</v>
      </c>
      <c r="J923" s="106">
        <v>742</v>
      </c>
      <c r="K923" s="110" t="s">
        <v>283</v>
      </c>
      <c r="L923" s="106"/>
      <c r="M923" s="105" t="s">
        <v>1926</v>
      </c>
      <c r="N923" s="106">
        <v>2</v>
      </c>
      <c r="O923" s="107"/>
      <c r="P923" s="107">
        <v>1958</v>
      </c>
      <c r="Q923" s="28">
        <f>data[[#This Row],[Costo Producto
Proveedor ($/Unid)]]*data[[#This Row],[Cantidad]]</f>
        <v>0</v>
      </c>
      <c r="R923" s="28">
        <f>data[[#This Row],[Cantidad]]*data[[#This Row],[Precio de Venta Cliente ($/Unid)]]</f>
        <v>3916</v>
      </c>
      <c r="S923" s="29"/>
      <c r="T923" s="109" t="s">
        <v>22</v>
      </c>
      <c r="U923" s="109"/>
      <c r="V923" s="30" t="s">
        <v>44</v>
      </c>
      <c r="W923" s="32" t="s">
        <v>44</v>
      </c>
      <c r="X923" s="106" t="s">
        <v>503</v>
      </c>
      <c r="Y923" s="106" t="s">
        <v>503</v>
      </c>
      <c r="Z923" s="106" t="s">
        <v>50</v>
      </c>
      <c r="AA923" s="109"/>
    </row>
    <row r="924" spans="2:27" s="105" customFormat="1" x14ac:dyDescent="0.25">
      <c r="B924" s="174"/>
      <c r="C924" s="174" t="str">
        <f>TEXT(data[[#This Row],[Fecha de Envío
Cotización]],"MMMM")</f>
        <v>junio</v>
      </c>
      <c r="D924" s="124">
        <v>44356</v>
      </c>
      <c r="E924" s="174" t="str">
        <f>IF(data[[#This Row],[Estatus de 
Cotización]]="PERDIDO","N/A","")</f>
        <v/>
      </c>
      <c r="F924" s="174"/>
      <c r="G924" s="109"/>
      <c r="H924" s="174"/>
      <c r="I924" s="86">
        <v>7380253</v>
      </c>
      <c r="J924" s="106">
        <v>749</v>
      </c>
      <c r="K924" s="110" t="s">
        <v>33</v>
      </c>
      <c r="L924" s="106"/>
      <c r="M924" s="105" t="s">
        <v>2011</v>
      </c>
      <c r="N924" s="106">
        <v>1</v>
      </c>
      <c r="O924" s="107"/>
      <c r="P924" s="107">
        <v>4630.5</v>
      </c>
      <c r="Q924" s="28">
        <f>data[[#This Row],[Costo Producto
Proveedor ($/Unid)]]*data[[#This Row],[Cantidad]]</f>
        <v>0</v>
      </c>
      <c r="R924" s="28">
        <f>data[[#This Row],[Cantidad]]*data[[#This Row],[Precio de Venta Cliente ($/Unid)]]</f>
        <v>4630.5</v>
      </c>
      <c r="S924" s="29"/>
      <c r="T924" s="109" t="s">
        <v>16</v>
      </c>
      <c r="U924" s="109"/>
      <c r="V924" s="30" t="s">
        <v>46</v>
      </c>
      <c r="W924" s="32" t="s">
        <v>46</v>
      </c>
      <c r="X924" s="106" t="s">
        <v>503</v>
      </c>
      <c r="Y924" s="106" t="s">
        <v>503</v>
      </c>
      <c r="Z924" s="106" t="s">
        <v>50</v>
      </c>
      <c r="AA924" s="109"/>
    </row>
    <row r="925" spans="2:27" s="105" customFormat="1" x14ac:dyDescent="0.25">
      <c r="B925" s="174"/>
      <c r="C925" s="174" t="str">
        <f>TEXT(data[[#This Row],[Fecha de Envío
Cotización]],"MMMM")</f>
        <v>junio</v>
      </c>
      <c r="D925" s="124">
        <v>44357</v>
      </c>
      <c r="E925" s="174" t="str">
        <f>IF(data[[#This Row],[Estatus de 
Cotización]]="PERDIDO","N/A","")</f>
        <v/>
      </c>
      <c r="F925" s="174"/>
      <c r="G925" s="109"/>
      <c r="H925" s="174"/>
      <c r="I925" s="86">
        <v>90031771</v>
      </c>
      <c r="J925" s="106">
        <v>758</v>
      </c>
      <c r="K925" s="110" t="s">
        <v>933</v>
      </c>
      <c r="L925" s="106"/>
      <c r="M925" s="105" t="s">
        <v>2029</v>
      </c>
      <c r="N925" s="106">
        <v>6</v>
      </c>
      <c r="O925" s="107"/>
      <c r="P925" s="107">
        <v>296.26</v>
      </c>
      <c r="Q925" s="28">
        <f>data[[#This Row],[Costo Producto
Proveedor ($/Unid)]]*data[[#This Row],[Cantidad]]</f>
        <v>0</v>
      </c>
      <c r="R925" s="28">
        <f>data[[#This Row],[Cantidad]]*data[[#This Row],[Precio de Venta Cliente ($/Unid)]]</f>
        <v>1777.56</v>
      </c>
      <c r="S925" s="29"/>
      <c r="T925" s="109" t="s">
        <v>36</v>
      </c>
      <c r="U925" s="109"/>
      <c r="V925" s="30" t="s">
        <v>46</v>
      </c>
      <c r="W925" s="32" t="s">
        <v>46</v>
      </c>
      <c r="X925" s="106" t="s">
        <v>503</v>
      </c>
      <c r="Y925" s="106" t="s">
        <v>503</v>
      </c>
      <c r="Z925" s="106" t="s">
        <v>50</v>
      </c>
      <c r="AA925" s="109"/>
    </row>
    <row r="926" spans="2:27" s="105" customFormat="1" x14ac:dyDescent="0.25">
      <c r="B926" s="174"/>
      <c r="C926" s="174" t="str">
        <f>TEXT(data[[#This Row],[Fecha de Envío
Cotización]],"MMMM")</f>
        <v>junio</v>
      </c>
      <c r="D926" s="124">
        <v>44357</v>
      </c>
      <c r="E926" s="174" t="str">
        <f>IF(data[[#This Row],[Estatus de 
Cotización]]="PERDIDO","N/A","")</f>
        <v/>
      </c>
      <c r="F926" s="174"/>
      <c r="G926" s="109"/>
      <c r="H926" s="174"/>
      <c r="I926" s="86">
        <v>90027906</v>
      </c>
      <c r="J926" s="106">
        <v>758</v>
      </c>
      <c r="K926" s="110" t="s">
        <v>933</v>
      </c>
      <c r="L926" s="106"/>
      <c r="M926" s="105" t="s">
        <v>2030</v>
      </c>
      <c r="N926" s="106">
        <v>6</v>
      </c>
      <c r="O926" s="107"/>
      <c r="P926" s="107">
        <v>184.81</v>
      </c>
      <c r="Q926" s="28">
        <f>data[[#This Row],[Costo Producto
Proveedor ($/Unid)]]*data[[#This Row],[Cantidad]]</f>
        <v>0</v>
      </c>
      <c r="R926" s="28">
        <f>data[[#This Row],[Cantidad]]*data[[#This Row],[Precio de Venta Cliente ($/Unid)]]</f>
        <v>1108.8600000000001</v>
      </c>
      <c r="S926" s="29"/>
      <c r="T926" s="109" t="s">
        <v>36</v>
      </c>
      <c r="U926" s="109"/>
      <c r="V926" s="30" t="s">
        <v>46</v>
      </c>
      <c r="W926" s="32" t="s">
        <v>46</v>
      </c>
      <c r="X926" s="106" t="s">
        <v>503</v>
      </c>
      <c r="Y926" s="106" t="s">
        <v>503</v>
      </c>
      <c r="Z926" s="106" t="s">
        <v>50</v>
      </c>
      <c r="AA926" s="109"/>
    </row>
    <row r="927" spans="2:27" s="105" customFormat="1" x14ac:dyDescent="0.25">
      <c r="B927" s="174"/>
      <c r="C927" s="174" t="str">
        <f>TEXT(data[[#This Row],[Fecha de Envío
Cotización]],"MMMM")</f>
        <v>junio</v>
      </c>
      <c r="D927" s="124">
        <v>44357</v>
      </c>
      <c r="E927" s="174" t="str">
        <f>IF(data[[#This Row],[Estatus de 
Cotización]]="PERDIDO","N/A","")</f>
        <v/>
      </c>
      <c r="F927" s="174"/>
      <c r="G927" s="109"/>
      <c r="H927" s="174"/>
      <c r="I927" s="86">
        <v>90027907</v>
      </c>
      <c r="J927" s="106">
        <v>758</v>
      </c>
      <c r="K927" s="110" t="s">
        <v>933</v>
      </c>
      <c r="L927" s="106"/>
      <c r="M927" s="105" t="s">
        <v>2031</v>
      </c>
      <c r="N927" s="106">
        <v>20</v>
      </c>
      <c r="O927" s="107"/>
      <c r="P927" s="107">
        <v>59.68</v>
      </c>
      <c r="Q927" s="28">
        <f>data[[#This Row],[Costo Producto
Proveedor ($/Unid)]]*data[[#This Row],[Cantidad]]</f>
        <v>0</v>
      </c>
      <c r="R927" s="28">
        <f>data[[#This Row],[Cantidad]]*data[[#This Row],[Precio de Venta Cliente ($/Unid)]]</f>
        <v>1193.5999999999999</v>
      </c>
      <c r="S927" s="29"/>
      <c r="T927" s="109" t="s">
        <v>36</v>
      </c>
      <c r="U927" s="109"/>
      <c r="V927" s="30" t="s">
        <v>46</v>
      </c>
      <c r="W927" s="32" t="s">
        <v>46</v>
      </c>
      <c r="X927" s="106" t="s">
        <v>503</v>
      </c>
      <c r="Y927" s="106" t="s">
        <v>503</v>
      </c>
      <c r="Z927" s="106" t="s">
        <v>50</v>
      </c>
      <c r="AA927" s="109"/>
    </row>
    <row r="928" spans="2:27" s="105" customFormat="1" x14ac:dyDescent="0.25">
      <c r="B928" s="174"/>
      <c r="C928" s="174" t="str">
        <f>TEXT(data[[#This Row],[Fecha de Envío
Cotización]],"MMMM")</f>
        <v>junio</v>
      </c>
      <c r="D928" s="124">
        <v>44357</v>
      </c>
      <c r="E928" s="174" t="str">
        <f>IF(data[[#This Row],[Estatus de 
Cotización]]="PERDIDO","N/A","")</f>
        <v/>
      </c>
      <c r="F928" s="174"/>
      <c r="G928" s="109"/>
      <c r="H928" s="174"/>
      <c r="I928" s="86">
        <v>90027908</v>
      </c>
      <c r="J928" s="106">
        <v>758</v>
      </c>
      <c r="K928" s="110" t="s">
        <v>933</v>
      </c>
      <c r="L928" s="106"/>
      <c r="M928" s="105" t="s">
        <v>2032</v>
      </c>
      <c r="N928" s="106">
        <v>8</v>
      </c>
      <c r="O928" s="107"/>
      <c r="P928" s="107">
        <v>32.96</v>
      </c>
      <c r="Q928" s="28">
        <f>data[[#This Row],[Costo Producto
Proveedor ($/Unid)]]*data[[#This Row],[Cantidad]]</f>
        <v>0</v>
      </c>
      <c r="R928" s="28">
        <f>data[[#This Row],[Cantidad]]*data[[#This Row],[Precio de Venta Cliente ($/Unid)]]</f>
        <v>263.68</v>
      </c>
      <c r="S928" s="29"/>
      <c r="T928" s="109" t="s">
        <v>36</v>
      </c>
      <c r="U928" s="109"/>
      <c r="V928" s="30" t="s">
        <v>46</v>
      </c>
      <c r="W928" s="32" t="s">
        <v>46</v>
      </c>
      <c r="X928" s="106" t="s">
        <v>503</v>
      </c>
      <c r="Y928" s="106" t="s">
        <v>503</v>
      </c>
      <c r="Z928" s="106" t="s">
        <v>50</v>
      </c>
      <c r="AA928" s="109"/>
    </row>
    <row r="929" spans="2:27" s="105" customFormat="1" x14ac:dyDescent="0.25">
      <c r="B929" s="174"/>
      <c r="C929" s="174" t="str">
        <f>TEXT(data[[#This Row],[Fecha de Envío
Cotización]],"MMMM")</f>
        <v>junio</v>
      </c>
      <c r="D929" s="124">
        <v>44357</v>
      </c>
      <c r="E929" s="174" t="str">
        <f>IF(data[[#This Row],[Estatus de 
Cotización]]="PERDIDO","N/A","")</f>
        <v/>
      </c>
      <c r="F929" s="174"/>
      <c r="G929" s="109"/>
      <c r="H929" s="174"/>
      <c r="I929" s="86">
        <v>90027909</v>
      </c>
      <c r="J929" s="106">
        <v>758</v>
      </c>
      <c r="K929" s="110" t="s">
        <v>933</v>
      </c>
      <c r="L929" s="106"/>
      <c r="M929" s="105" t="s">
        <v>685</v>
      </c>
      <c r="N929" s="106">
        <v>16</v>
      </c>
      <c r="O929" s="107"/>
      <c r="P929" s="107">
        <v>37.08</v>
      </c>
      <c r="Q929" s="28">
        <f>data[[#This Row],[Costo Producto
Proveedor ($/Unid)]]*data[[#This Row],[Cantidad]]</f>
        <v>0</v>
      </c>
      <c r="R929" s="28">
        <f>data[[#This Row],[Cantidad]]*data[[#This Row],[Precio de Venta Cliente ($/Unid)]]</f>
        <v>593.28</v>
      </c>
      <c r="S929" s="29"/>
      <c r="T929" s="109" t="s">
        <v>36</v>
      </c>
      <c r="U929" s="109"/>
      <c r="V929" s="30" t="s">
        <v>46</v>
      </c>
      <c r="W929" s="32" t="s">
        <v>46</v>
      </c>
      <c r="X929" s="106" t="s">
        <v>503</v>
      </c>
      <c r="Y929" s="106" t="s">
        <v>503</v>
      </c>
      <c r="Z929" s="106" t="s">
        <v>50</v>
      </c>
      <c r="AA929" s="109"/>
    </row>
    <row r="930" spans="2:27" s="105" customFormat="1" x14ac:dyDescent="0.25">
      <c r="B930" s="174"/>
      <c r="C930" s="174" t="str">
        <f>TEXT(data[[#This Row],[Fecha de Envío
Cotización]],"MMMM")</f>
        <v>junio</v>
      </c>
      <c r="D930" s="124">
        <v>44357</v>
      </c>
      <c r="E930" s="174" t="str">
        <f>IF(data[[#This Row],[Estatus de 
Cotización]]="PERDIDO","N/A","")</f>
        <v/>
      </c>
      <c r="F930" s="174"/>
      <c r="G930" s="109"/>
      <c r="H930" s="174"/>
      <c r="I930" s="86">
        <v>90027910</v>
      </c>
      <c r="J930" s="106">
        <v>758</v>
      </c>
      <c r="K930" s="110" t="s">
        <v>933</v>
      </c>
      <c r="L930" s="106"/>
      <c r="M930" s="105" t="s">
        <v>686</v>
      </c>
      <c r="N930" s="106">
        <v>10</v>
      </c>
      <c r="O930" s="107"/>
      <c r="P930" s="107">
        <v>116.41</v>
      </c>
      <c r="Q930" s="28">
        <f>data[[#This Row],[Costo Producto
Proveedor ($/Unid)]]*data[[#This Row],[Cantidad]]</f>
        <v>0</v>
      </c>
      <c r="R930" s="28">
        <f>data[[#This Row],[Cantidad]]*data[[#This Row],[Precio de Venta Cliente ($/Unid)]]</f>
        <v>1164.0999999999999</v>
      </c>
      <c r="S930" s="29"/>
      <c r="T930" s="109" t="s">
        <v>36</v>
      </c>
      <c r="U930" s="109"/>
      <c r="V930" s="30" t="s">
        <v>46</v>
      </c>
      <c r="W930" s="32" t="s">
        <v>46</v>
      </c>
      <c r="X930" s="106" t="s">
        <v>503</v>
      </c>
      <c r="Y930" s="106" t="s">
        <v>503</v>
      </c>
      <c r="Z930" s="106" t="s">
        <v>50</v>
      </c>
      <c r="AA930" s="109"/>
    </row>
    <row r="931" spans="2:27" s="105" customFormat="1" x14ac:dyDescent="0.25">
      <c r="B931" s="174"/>
      <c r="C931" s="174" t="str">
        <f>TEXT(data[[#This Row],[Fecha de Envío
Cotización]],"MMMM")</f>
        <v>junio</v>
      </c>
      <c r="D931" s="124">
        <v>44357</v>
      </c>
      <c r="E931" s="174" t="str">
        <f>IF(data[[#This Row],[Estatus de 
Cotización]]="PERDIDO","N/A","")</f>
        <v/>
      </c>
      <c r="F931" s="174"/>
      <c r="G931" s="109"/>
      <c r="H931" s="174"/>
      <c r="I931" s="86">
        <v>90031772</v>
      </c>
      <c r="J931" s="106">
        <v>758</v>
      </c>
      <c r="K931" s="110" t="s">
        <v>933</v>
      </c>
      <c r="L931" s="106"/>
      <c r="M931" s="105" t="s">
        <v>2033</v>
      </c>
      <c r="N931" s="106">
        <v>6</v>
      </c>
      <c r="O931" s="107"/>
      <c r="P931" s="107">
        <v>35.9</v>
      </c>
      <c r="Q931" s="28">
        <f>data[[#This Row],[Costo Producto
Proveedor ($/Unid)]]*data[[#This Row],[Cantidad]]</f>
        <v>0</v>
      </c>
      <c r="R931" s="28">
        <f>data[[#This Row],[Cantidad]]*data[[#This Row],[Precio de Venta Cliente ($/Unid)]]</f>
        <v>215.39999999999998</v>
      </c>
      <c r="S931" s="29"/>
      <c r="T931" s="109" t="s">
        <v>36</v>
      </c>
      <c r="U931" s="109"/>
      <c r="V931" s="30" t="s">
        <v>46</v>
      </c>
      <c r="W931" s="32" t="s">
        <v>46</v>
      </c>
      <c r="X931" s="106" t="s">
        <v>503</v>
      </c>
      <c r="Y931" s="106" t="s">
        <v>503</v>
      </c>
      <c r="Z931" s="106" t="s">
        <v>50</v>
      </c>
      <c r="AA931" s="109"/>
    </row>
    <row r="932" spans="2:27" s="105" customFormat="1" x14ac:dyDescent="0.25">
      <c r="B932" s="174"/>
      <c r="C932" s="174" t="str">
        <f>TEXT(data[[#This Row],[Fecha de Envío
Cotización]],"MMMM")</f>
        <v>junio</v>
      </c>
      <c r="D932" s="124">
        <v>44357</v>
      </c>
      <c r="E932" s="174" t="str">
        <f>IF(data[[#This Row],[Estatus de 
Cotización]]="PERDIDO","N/A","")</f>
        <v/>
      </c>
      <c r="F932" s="174"/>
      <c r="G932" s="109"/>
      <c r="H932" s="174"/>
      <c r="I932" s="86">
        <v>90031773</v>
      </c>
      <c r="J932" s="106">
        <v>758</v>
      </c>
      <c r="K932" s="110" t="s">
        <v>933</v>
      </c>
      <c r="L932" s="106"/>
      <c r="M932" s="105" t="s">
        <v>680</v>
      </c>
      <c r="N932" s="106">
        <v>8</v>
      </c>
      <c r="O932" s="107"/>
      <c r="P932" s="107">
        <v>182.43</v>
      </c>
      <c r="Q932" s="28">
        <f>data[[#This Row],[Costo Producto
Proveedor ($/Unid)]]*data[[#This Row],[Cantidad]]</f>
        <v>0</v>
      </c>
      <c r="R932" s="28">
        <f>data[[#This Row],[Cantidad]]*data[[#This Row],[Precio de Venta Cliente ($/Unid)]]</f>
        <v>1459.44</v>
      </c>
      <c r="S932" s="29"/>
      <c r="T932" s="109" t="s">
        <v>36</v>
      </c>
      <c r="U932" s="109"/>
      <c r="V932" s="30" t="s">
        <v>46</v>
      </c>
      <c r="W932" s="32" t="s">
        <v>46</v>
      </c>
      <c r="X932" s="106" t="s">
        <v>503</v>
      </c>
      <c r="Y932" s="106" t="s">
        <v>503</v>
      </c>
      <c r="Z932" s="106" t="s">
        <v>50</v>
      </c>
      <c r="AA932" s="109"/>
    </row>
    <row r="933" spans="2:27" s="105" customFormat="1" x14ac:dyDescent="0.25">
      <c r="B933" s="174"/>
      <c r="C933" s="174" t="str">
        <f>TEXT(data[[#This Row],[Fecha de Envío
Cotización]],"MMMM")</f>
        <v>junio</v>
      </c>
      <c r="D933" s="124">
        <v>44357</v>
      </c>
      <c r="E933" s="174" t="str">
        <f>IF(data[[#This Row],[Estatus de 
Cotización]]="PERDIDO","N/A","")</f>
        <v/>
      </c>
      <c r="F933" s="174"/>
      <c r="G933" s="109"/>
      <c r="H933" s="174"/>
      <c r="I933" s="86">
        <v>90031774</v>
      </c>
      <c r="J933" s="106">
        <v>758</v>
      </c>
      <c r="K933" s="110" t="s">
        <v>933</v>
      </c>
      <c r="L933" s="106"/>
      <c r="M933" s="105" t="s">
        <v>2034</v>
      </c>
      <c r="N933" s="106">
        <v>16</v>
      </c>
      <c r="O933" s="107"/>
      <c r="P933" s="107">
        <v>60.36</v>
      </c>
      <c r="Q933" s="28">
        <f>data[[#This Row],[Costo Producto
Proveedor ($/Unid)]]*data[[#This Row],[Cantidad]]</f>
        <v>0</v>
      </c>
      <c r="R933" s="28">
        <f>data[[#This Row],[Cantidad]]*data[[#This Row],[Precio de Venta Cliente ($/Unid)]]</f>
        <v>965.76</v>
      </c>
      <c r="S933" s="29"/>
      <c r="T933" s="109" t="s">
        <v>36</v>
      </c>
      <c r="U933" s="109"/>
      <c r="V933" s="30" t="s">
        <v>46</v>
      </c>
      <c r="W933" s="32" t="s">
        <v>46</v>
      </c>
      <c r="X933" s="106" t="s">
        <v>503</v>
      </c>
      <c r="Y933" s="106" t="s">
        <v>503</v>
      </c>
      <c r="Z933" s="106" t="s">
        <v>50</v>
      </c>
      <c r="AA933" s="109"/>
    </row>
    <row r="934" spans="2:27" s="105" customFormat="1" x14ac:dyDescent="0.25">
      <c r="B934" s="174"/>
      <c r="C934" s="174" t="str">
        <f>TEXT(data[[#This Row],[Fecha de Envío
Cotización]],"MMMM")</f>
        <v>junio</v>
      </c>
      <c r="D934" s="124">
        <v>44357</v>
      </c>
      <c r="E934" s="174" t="str">
        <f>IF(data[[#This Row],[Estatus de 
Cotización]]="PERDIDO","N/A","")</f>
        <v/>
      </c>
      <c r="F934" s="174"/>
      <c r="G934" s="109"/>
      <c r="H934" s="174"/>
      <c r="I934" s="86">
        <v>90031775</v>
      </c>
      <c r="J934" s="106">
        <v>758</v>
      </c>
      <c r="K934" s="110" t="s">
        <v>933</v>
      </c>
      <c r="L934" s="106"/>
      <c r="M934" s="105" t="s">
        <v>2035</v>
      </c>
      <c r="N934" s="106">
        <v>25</v>
      </c>
      <c r="O934" s="107"/>
      <c r="P934" s="107">
        <v>131.94999999999999</v>
      </c>
      <c r="Q934" s="28">
        <f>data[[#This Row],[Costo Producto
Proveedor ($/Unid)]]*data[[#This Row],[Cantidad]]</f>
        <v>0</v>
      </c>
      <c r="R934" s="28">
        <f>data[[#This Row],[Cantidad]]*data[[#This Row],[Precio de Venta Cliente ($/Unid)]]</f>
        <v>3298.7499999999995</v>
      </c>
      <c r="S934" s="29"/>
      <c r="T934" s="109" t="s">
        <v>36</v>
      </c>
      <c r="U934" s="109"/>
      <c r="V934" s="30" t="s">
        <v>46</v>
      </c>
      <c r="W934" s="32" t="s">
        <v>46</v>
      </c>
      <c r="X934" s="106" t="s">
        <v>503</v>
      </c>
      <c r="Y934" s="106" t="s">
        <v>503</v>
      </c>
      <c r="Z934" s="106" t="s">
        <v>50</v>
      </c>
      <c r="AA934" s="109"/>
    </row>
    <row r="935" spans="2:27" s="105" customFormat="1" x14ac:dyDescent="0.25">
      <c r="B935" s="174"/>
      <c r="C935" s="174" t="str">
        <f>TEXT(data[[#This Row],[Fecha de Envío
Cotización]],"MMMM")</f>
        <v>junio</v>
      </c>
      <c r="D935" s="124">
        <v>44357</v>
      </c>
      <c r="E935" s="174" t="str">
        <f>IF(data[[#This Row],[Estatus de 
Cotización]]="PERDIDO","N/A","")</f>
        <v/>
      </c>
      <c r="F935" s="174"/>
      <c r="G935" s="109"/>
      <c r="H935" s="174"/>
      <c r="I935" s="86">
        <v>90031777</v>
      </c>
      <c r="J935" s="106">
        <v>758</v>
      </c>
      <c r="K935" s="110" t="s">
        <v>933</v>
      </c>
      <c r="L935" s="106"/>
      <c r="M935" s="105" t="s">
        <v>2037</v>
      </c>
      <c r="N935" s="106">
        <v>1</v>
      </c>
      <c r="O935" s="107"/>
      <c r="P935" s="107">
        <v>2264.25</v>
      </c>
      <c r="Q935" s="28">
        <f>data[[#This Row],[Costo Producto
Proveedor ($/Unid)]]*data[[#This Row],[Cantidad]]</f>
        <v>0</v>
      </c>
      <c r="R935" s="28">
        <f>data[[#This Row],[Cantidad]]*data[[#This Row],[Precio de Venta Cliente ($/Unid)]]</f>
        <v>2264.25</v>
      </c>
      <c r="S935" s="29"/>
      <c r="T935" s="109" t="s">
        <v>36</v>
      </c>
      <c r="U935" s="109"/>
      <c r="V935" s="30" t="s">
        <v>46</v>
      </c>
      <c r="W935" s="32" t="s">
        <v>46</v>
      </c>
      <c r="X935" s="106" t="s">
        <v>503</v>
      </c>
      <c r="Y935" s="106" t="s">
        <v>503</v>
      </c>
      <c r="Z935" s="106" t="s">
        <v>50</v>
      </c>
      <c r="AA935" s="109"/>
    </row>
    <row r="936" spans="2:27" s="105" customFormat="1" x14ac:dyDescent="0.25">
      <c r="B936" s="174"/>
      <c r="C936" s="174" t="str">
        <f>TEXT(data[[#This Row],[Fecha de Envío
Cotización]],"MMMM")</f>
        <v>junio</v>
      </c>
      <c r="D936" s="124">
        <v>44357</v>
      </c>
      <c r="E936" s="174" t="str">
        <f>IF(data[[#This Row],[Estatus de 
Cotización]]="PERDIDO","N/A","")</f>
        <v/>
      </c>
      <c r="F936" s="174"/>
      <c r="G936" s="109"/>
      <c r="H936" s="174"/>
      <c r="I936" s="86">
        <v>90031778</v>
      </c>
      <c r="J936" s="106">
        <v>758</v>
      </c>
      <c r="K936" s="110" t="s">
        <v>933</v>
      </c>
      <c r="L936" s="106"/>
      <c r="M936" s="105" t="s">
        <v>2036</v>
      </c>
      <c r="N936" s="106">
        <v>1</v>
      </c>
      <c r="O936" s="107"/>
      <c r="P936" s="107">
        <v>1713.7</v>
      </c>
      <c r="Q936" s="28">
        <f>data[[#This Row],[Costo Producto
Proveedor ($/Unid)]]*data[[#This Row],[Cantidad]]</f>
        <v>0</v>
      </c>
      <c r="R936" s="28">
        <f>data[[#This Row],[Cantidad]]*data[[#This Row],[Precio de Venta Cliente ($/Unid)]]</f>
        <v>1713.7</v>
      </c>
      <c r="S936" s="29"/>
      <c r="T936" s="109" t="s">
        <v>36</v>
      </c>
      <c r="U936" s="109"/>
      <c r="V936" s="30" t="s">
        <v>46</v>
      </c>
      <c r="W936" s="32" t="s">
        <v>46</v>
      </c>
      <c r="X936" s="106" t="s">
        <v>503</v>
      </c>
      <c r="Y936" s="106" t="s">
        <v>503</v>
      </c>
      <c r="Z936" s="106" t="s">
        <v>50</v>
      </c>
      <c r="AA936" s="109"/>
    </row>
    <row r="937" spans="2:27" s="105" customFormat="1" x14ac:dyDescent="0.25">
      <c r="B937" s="174"/>
      <c r="C937" s="174" t="str">
        <f>TEXT(data[[#This Row],[Fecha de Envío
Cotización]],"MMMM")</f>
        <v>mayo</v>
      </c>
      <c r="D937" s="124">
        <v>44344</v>
      </c>
      <c r="E937" s="174" t="str">
        <f>IF(data[[#This Row],[Estatus de 
Cotización]]="PERDIDO","N/A","")</f>
        <v/>
      </c>
      <c r="F937" s="174"/>
      <c r="G937" s="109"/>
      <c r="H937" s="174"/>
      <c r="I937" s="86">
        <v>12190215660</v>
      </c>
      <c r="J937" s="106">
        <v>663</v>
      </c>
      <c r="K937" s="110" t="s">
        <v>283</v>
      </c>
      <c r="L937" s="106"/>
      <c r="M937" s="105" t="s">
        <v>1769</v>
      </c>
      <c r="N937" s="106">
        <v>1</v>
      </c>
      <c r="O937" s="107"/>
      <c r="P937" s="107">
        <v>1833.23</v>
      </c>
      <c r="Q937" s="28">
        <f>data[[#This Row],[Costo Producto
Proveedor ($/Unid)]]*data[[#This Row],[Cantidad]]</f>
        <v>0</v>
      </c>
      <c r="R937" s="28">
        <f>data[[#This Row],[Cantidad]]*data[[#This Row],[Precio de Venta Cliente ($/Unid)]]</f>
        <v>1833.23</v>
      </c>
      <c r="S937" s="29"/>
      <c r="T937" s="109" t="s">
        <v>16</v>
      </c>
      <c r="U937" s="109"/>
      <c r="V937" s="30" t="s">
        <v>46</v>
      </c>
      <c r="W937" s="32" t="s">
        <v>46</v>
      </c>
      <c r="X937" s="106" t="s">
        <v>23</v>
      </c>
      <c r="Y937" s="106" t="s">
        <v>23</v>
      </c>
      <c r="Z937" s="106" t="s">
        <v>50</v>
      </c>
      <c r="AA937" s="109"/>
    </row>
    <row r="938" spans="2:27" s="105" customFormat="1" x14ac:dyDescent="0.25">
      <c r="B938" s="174"/>
      <c r="C938" s="174" t="str">
        <f>TEXT(data[[#This Row],[Fecha de Envío
Cotización]],"MMMM")</f>
        <v>junio</v>
      </c>
      <c r="D938" s="124">
        <v>44357</v>
      </c>
      <c r="E938" s="174" t="str">
        <f>IF(data[[#This Row],[Estatus de 
Cotización]]="PERDIDO","N/A","")</f>
        <v/>
      </c>
      <c r="F938" s="174"/>
      <c r="G938" s="109"/>
      <c r="H938" s="174"/>
      <c r="I938" s="86">
        <v>8102297931</v>
      </c>
      <c r="J938" s="106">
        <v>759</v>
      </c>
      <c r="K938" s="110" t="s">
        <v>283</v>
      </c>
      <c r="L938" s="106"/>
      <c r="M938" s="105" t="s">
        <v>2041</v>
      </c>
      <c r="N938" s="106">
        <v>1</v>
      </c>
      <c r="O938" s="107"/>
      <c r="P938" s="107">
        <v>14591.73</v>
      </c>
      <c r="Q938" s="28">
        <f>data[[#This Row],[Costo Producto
Proveedor ($/Unid)]]*data[[#This Row],[Cantidad]]</f>
        <v>0</v>
      </c>
      <c r="R938" s="28">
        <f>data[[#This Row],[Cantidad]]*data[[#This Row],[Precio de Venta Cliente ($/Unid)]]</f>
        <v>14591.73</v>
      </c>
      <c r="S938" s="29"/>
      <c r="T938" s="109" t="s">
        <v>2039</v>
      </c>
      <c r="U938" s="109"/>
      <c r="V938" s="30" t="s">
        <v>46</v>
      </c>
      <c r="W938" s="32" t="s">
        <v>46</v>
      </c>
      <c r="X938" s="106" t="s">
        <v>503</v>
      </c>
      <c r="Y938" s="106" t="s">
        <v>503</v>
      </c>
      <c r="Z938" s="106" t="s">
        <v>50</v>
      </c>
      <c r="AA938" s="109"/>
    </row>
    <row r="939" spans="2:27" s="105" customFormat="1" x14ac:dyDescent="0.25">
      <c r="B939" s="174"/>
      <c r="C939" s="174" t="str">
        <f>TEXT(data[[#This Row],[Fecha de Envío
Cotización]],"MMMM")</f>
        <v>junio</v>
      </c>
      <c r="D939" s="124">
        <v>44357</v>
      </c>
      <c r="E939" s="174" t="str">
        <f>IF(data[[#This Row],[Estatus de 
Cotización]]="PERDIDO","N/A","")</f>
        <v/>
      </c>
      <c r="F939" s="174"/>
      <c r="G939" s="109"/>
      <c r="H939" s="174"/>
      <c r="I939" s="86">
        <v>8102192956</v>
      </c>
      <c r="J939" s="106">
        <v>759</v>
      </c>
      <c r="K939" s="110" t="s">
        <v>283</v>
      </c>
      <c r="L939" s="106"/>
      <c r="M939" s="105" t="s">
        <v>2040</v>
      </c>
      <c r="N939" s="106">
        <v>1</v>
      </c>
      <c r="O939" s="107"/>
      <c r="P939" s="107">
        <v>25867.95</v>
      </c>
      <c r="Q939" s="28">
        <f>data[[#This Row],[Costo Producto
Proveedor ($/Unid)]]*data[[#This Row],[Cantidad]]</f>
        <v>0</v>
      </c>
      <c r="R939" s="28">
        <f>data[[#This Row],[Cantidad]]*data[[#This Row],[Precio de Venta Cliente ($/Unid)]]</f>
        <v>25867.95</v>
      </c>
      <c r="S939" s="29"/>
      <c r="T939" s="109" t="s">
        <v>2039</v>
      </c>
      <c r="U939" s="109"/>
      <c r="V939" s="30" t="s">
        <v>46</v>
      </c>
      <c r="W939" s="32" t="s">
        <v>46</v>
      </c>
      <c r="X939" s="106" t="s">
        <v>503</v>
      </c>
      <c r="Y939" s="106" t="s">
        <v>503</v>
      </c>
      <c r="Z939" s="106" t="s">
        <v>50</v>
      </c>
      <c r="AA939" s="109"/>
    </row>
    <row r="940" spans="2:27" s="105" customFormat="1" x14ac:dyDescent="0.25">
      <c r="B940" s="174"/>
      <c r="C940" s="174" t="str">
        <f>TEXT(data[[#This Row],[Fecha de Envío
Cotización]],"MMMM")</f>
        <v>junio</v>
      </c>
      <c r="D940" s="124">
        <v>44358</v>
      </c>
      <c r="E940" s="174" t="str">
        <f>IF(data[[#This Row],[Estatus de 
Cotización]]="PERDIDO","N/A","")</f>
        <v/>
      </c>
      <c r="F940" s="174"/>
      <c r="G940" s="109"/>
      <c r="H940" s="174"/>
      <c r="I940" s="86" t="s">
        <v>2047</v>
      </c>
      <c r="J940" s="106">
        <v>762</v>
      </c>
      <c r="K940" s="110" t="s">
        <v>1788</v>
      </c>
      <c r="L940" s="106"/>
      <c r="M940" s="105" t="s">
        <v>2048</v>
      </c>
      <c r="N940" s="106">
        <v>1</v>
      </c>
      <c r="O940" s="107"/>
      <c r="P940" s="107">
        <v>574.57000000000005</v>
      </c>
      <c r="Q940" s="28">
        <f>data[[#This Row],[Costo Producto
Proveedor ($/Unid)]]*data[[#This Row],[Cantidad]]</f>
        <v>0</v>
      </c>
      <c r="R940" s="28">
        <f>data[[#This Row],[Cantidad]]*data[[#This Row],[Precio de Venta Cliente ($/Unid)]]</f>
        <v>574.57000000000005</v>
      </c>
      <c r="S940" s="29"/>
      <c r="T940" s="109" t="s">
        <v>77</v>
      </c>
      <c r="U940" s="109"/>
      <c r="V940" s="30" t="s">
        <v>46</v>
      </c>
      <c r="W940" s="32" t="s">
        <v>46</v>
      </c>
      <c r="X940" s="106" t="s">
        <v>503</v>
      </c>
      <c r="Y940" s="106" t="s">
        <v>503</v>
      </c>
      <c r="Z940" s="106" t="s">
        <v>50</v>
      </c>
      <c r="AA940" s="109"/>
    </row>
    <row r="941" spans="2:27" s="105" customFormat="1" x14ac:dyDescent="0.25">
      <c r="B941" s="174"/>
      <c r="C941" s="174" t="str">
        <f>TEXT(data[[#This Row],[Fecha de Envío
Cotización]],"MMMM")</f>
        <v>junio</v>
      </c>
      <c r="D941" s="124">
        <v>44358</v>
      </c>
      <c r="E941" s="174" t="str">
        <f>IF(data[[#This Row],[Estatus de 
Cotización]]="PERDIDO","N/A","")</f>
        <v/>
      </c>
      <c r="F941" s="174"/>
      <c r="G941" s="109"/>
      <c r="H941" s="174"/>
      <c r="I941" s="86">
        <v>25230010</v>
      </c>
      <c r="J941" s="106">
        <v>764</v>
      </c>
      <c r="K941" s="110" t="s">
        <v>33</v>
      </c>
      <c r="L941" s="106"/>
      <c r="M941" s="105" t="s">
        <v>2053</v>
      </c>
      <c r="N941" s="106">
        <v>3</v>
      </c>
      <c r="O941" s="107"/>
      <c r="P941" s="107">
        <v>193.95</v>
      </c>
      <c r="Q941" s="28">
        <f>data[[#This Row],[Costo Producto
Proveedor ($/Unid)]]*data[[#This Row],[Cantidad]]</f>
        <v>0</v>
      </c>
      <c r="R941" s="28">
        <f>data[[#This Row],[Cantidad]]*data[[#This Row],[Precio de Venta Cliente ($/Unid)]]</f>
        <v>581.84999999999991</v>
      </c>
      <c r="S941" s="29"/>
      <c r="T941" s="109" t="s">
        <v>16</v>
      </c>
      <c r="U941" s="109"/>
      <c r="V941" s="30" t="s">
        <v>46</v>
      </c>
      <c r="W941" s="32" t="s">
        <v>46</v>
      </c>
      <c r="X941" s="106" t="s">
        <v>503</v>
      </c>
      <c r="Y941" s="106" t="s">
        <v>503</v>
      </c>
      <c r="Z941" s="106" t="s">
        <v>50</v>
      </c>
      <c r="AA941" s="109"/>
    </row>
    <row r="942" spans="2:27" s="105" customFormat="1" x14ac:dyDescent="0.25">
      <c r="B942" s="174"/>
      <c r="C942" s="174" t="str">
        <f>TEXT(data[[#This Row],[Fecha de Envío
Cotización]],"MMMM")</f>
        <v>junio</v>
      </c>
      <c r="D942" s="124">
        <v>44358</v>
      </c>
      <c r="E942" s="174" t="str">
        <f>IF(data[[#This Row],[Estatus de 
Cotización]]="PERDIDO","N/A","")</f>
        <v/>
      </c>
      <c r="F942" s="174"/>
      <c r="G942" s="109"/>
      <c r="H942" s="174"/>
      <c r="I942" s="86">
        <v>163519</v>
      </c>
      <c r="J942" s="106">
        <v>765</v>
      </c>
      <c r="K942" s="110" t="s">
        <v>1109</v>
      </c>
      <c r="L942" s="106"/>
      <c r="M942" s="3" t="s">
        <v>1993</v>
      </c>
      <c r="N942" s="106">
        <v>1</v>
      </c>
      <c r="O942" s="107"/>
      <c r="P942" s="107">
        <v>642.26</v>
      </c>
      <c r="Q942" s="28">
        <f>data[[#This Row],[Costo Producto
Proveedor ($/Unid)]]*data[[#This Row],[Cantidad]]</f>
        <v>0</v>
      </c>
      <c r="R942" s="28">
        <f>data[[#This Row],[Cantidad]]*data[[#This Row],[Precio de Venta Cliente ($/Unid)]]</f>
        <v>642.26</v>
      </c>
      <c r="S942" s="29"/>
      <c r="T942" s="109" t="s">
        <v>16</v>
      </c>
      <c r="U942" s="109"/>
      <c r="V942" s="30" t="s">
        <v>46</v>
      </c>
      <c r="W942" s="32" t="s">
        <v>46</v>
      </c>
      <c r="X942" s="106" t="s">
        <v>503</v>
      </c>
      <c r="Y942" s="106" t="s">
        <v>503</v>
      </c>
      <c r="Z942" s="106" t="s">
        <v>50</v>
      </c>
      <c r="AA942" s="109"/>
    </row>
    <row r="943" spans="2:27" s="105" customFormat="1" x14ac:dyDescent="0.25">
      <c r="B943" s="174"/>
      <c r="C943" s="174" t="str">
        <f>TEXT(data[[#This Row],[Fecha de Envío
Cotización]],"MMMM")</f>
        <v>junio</v>
      </c>
      <c r="D943" s="124">
        <v>44358</v>
      </c>
      <c r="E943" s="174" t="str">
        <f>IF(data[[#This Row],[Estatus de 
Cotización]]="PERDIDO","N/A","")</f>
        <v/>
      </c>
      <c r="F943" s="174"/>
      <c r="G943" s="109"/>
      <c r="H943" s="174"/>
      <c r="I943" s="86">
        <v>163519</v>
      </c>
      <c r="J943" s="106">
        <v>765</v>
      </c>
      <c r="K943" s="110" t="s">
        <v>1109</v>
      </c>
      <c r="L943" s="106"/>
      <c r="M943" s="3" t="s">
        <v>1993</v>
      </c>
      <c r="N943" s="106">
        <v>1</v>
      </c>
      <c r="O943" s="107"/>
      <c r="P943" s="107">
        <v>642.26</v>
      </c>
      <c r="Q943" s="28">
        <f>data[[#This Row],[Costo Producto
Proveedor ($/Unid)]]*data[[#This Row],[Cantidad]]</f>
        <v>0</v>
      </c>
      <c r="R943" s="28">
        <f>data[[#This Row],[Cantidad]]*data[[#This Row],[Precio de Venta Cliente ($/Unid)]]</f>
        <v>642.26</v>
      </c>
      <c r="S943" s="29"/>
      <c r="T943" s="109" t="s">
        <v>16</v>
      </c>
      <c r="U943" s="109"/>
      <c r="V943" s="30" t="s">
        <v>46</v>
      </c>
      <c r="W943" s="32" t="s">
        <v>46</v>
      </c>
      <c r="X943" s="106" t="s">
        <v>503</v>
      </c>
      <c r="Y943" s="106" t="s">
        <v>503</v>
      </c>
      <c r="Z943" s="106" t="s">
        <v>50</v>
      </c>
      <c r="AA943" s="109"/>
    </row>
    <row r="944" spans="2:27" s="105" customFormat="1" x14ac:dyDescent="0.25">
      <c r="B944" s="174"/>
      <c r="C944" s="174" t="str">
        <f>TEXT(data[[#This Row],[Fecha de Envío
Cotización]],"MMMM")</f>
        <v>junio</v>
      </c>
      <c r="D944" s="124">
        <v>44358</v>
      </c>
      <c r="E944" s="174" t="str">
        <f>IF(data[[#This Row],[Estatus de 
Cotización]]="PERDIDO","N/A","")</f>
        <v/>
      </c>
      <c r="F944" s="174"/>
      <c r="G944" s="109"/>
      <c r="H944" s="174"/>
      <c r="I944" s="86">
        <v>163519</v>
      </c>
      <c r="J944" s="106">
        <v>765</v>
      </c>
      <c r="K944" s="110" t="s">
        <v>1109</v>
      </c>
      <c r="L944" s="106"/>
      <c r="M944" s="3" t="s">
        <v>1993</v>
      </c>
      <c r="N944" s="106">
        <v>1</v>
      </c>
      <c r="O944" s="107"/>
      <c r="P944" s="107">
        <v>642.26</v>
      </c>
      <c r="Q944" s="28">
        <f>data[[#This Row],[Costo Producto
Proveedor ($/Unid)]]*data[[#This Row],[Cantidad]]</f>
        <v>0</v>
      </c>
      <c r="R944" s="28">
        <f>data[[#This Row],[Cantidad]]*data[[#This Row],[Precio de Venta Cliente ($/Unid)]]</f>
        <v>642.26</v>
      </c>
      <c r="S944" s="29"/>
      <c r="T944" s="109" t="s">
        <v>16</v>
      </c>
      <c r="U944" s="109"/>
      <c r="V944" s="30" t="s">
        <v>46</v>
      </c>
      <c r="W944" s="32" t="s">
        <v>46</v>
      </c>
      <c r="X944" s="106" t="s">
        <v>503</v>
      </c>
      <c r="Y944" s="106" t="s">
        <v>503</v>
      </c>
      <c r="Z944" s="106" t="s">
        <v>50</v>
      </c>
      <c r="AA944" s="109"/>
    </row>
    <row r="945" spans="2:27" s="105" customFormat="1" x14ac:dyDescent="0.25">
      <c r="B945" s="174"/>
      <c r="C945" s="174" t="str">
        <f>TEXT(data[[#This Row],[Fecha de Envío
Cotización]],"MMMM")</f>
        <v>mayo</v>
      </c>
      <c r="D945" s="124">
        <v>44342</v>
      </c>
      <c r="E945" s="174" t="str">
        <f>IF(data[[#This Row],[Estatus de 
Cotización]]="PERDIDO","N/A","")</f>
        <v/>
      </c>
      <c r="F945" s="174"/>
      <c r="G945" s="109"/>
      <c r="H945" s="174"/>
      <c r="I945" s="86">
        <v>12190257882</v>
      </c>
      <c r="J945" s="106">
        <v>648</v>
      </c>
      <c r="K945" s="110" t="s">
        <v>283</v>
      </c>
      <c r="L945" s="106"/>
      <c r="M945" s="108" t="s">
        <v>1696</v>
      </c>
      <c r="N945" s="106">
        <v>1</v>
      </c>
      <c r="O945" s="107"/>
      <c r="P945" s="107">
        <v>1626.04</v>
      </c>
      <c r="Q945" s="28">
        <f>data[[#This Row],[Costo Producto
Proveedor ($/Unid)]]*data[[#This Row],[Cantidad]]</f>
        <v>0</v>
      </c>
      <c r="R945" s="28">
        <f>data[[#This Row],[Cantidad]]*data[[#This Row],[Precio de Venta Cliente ($/Unid)]]</f>
        <v>1626.04</v>
      </c>
      <c r="S945" s="29"/>
      <c r="T945" s="109" t="s">
        <v>16</v>
      </c>
      <c r="U945" s="109"/>
      <c r="V945" s="30" t="s">
        <v>46</v>
      </c>
      <c r="W945" s="32" t="s">
        <v>46</v>
      </c>
      <c r="X945" s="106" t="s">
        <v>23</v>
      </c>
      <c r="Y945" s="106" t="s">
        <v>23</v>
      </c>
      <c r="Z945" s="106" t="s">
        <v>50</v>
      </c>
      <c r="AA945" s="109"/>
    </row>
    <row r="946" spans="2:27" s="105" customFormat="1" x14ac:dyDescent="0.25">
      <c r="B946" s="174"/>
      <c r="C946" s="174" t="str">
        <f>TEXT(data[[#This Row],[Fecha de Envío
Cotización]],"MMMM")</f>
        <v>junio</v>
      </c>
      <c r="D946" s="124">
        <v>44361</v>
      </c>
      <c r="E946" s="174" t="str">
        <f>IF(data[[#This Row],[Estatus de 
Cotización]]="PERDIDO","N/A","")</f>
        <v/>
      </c>
      <c r="F946" s="174"/>
      <c r="G946" s="109"/>
      <c r="H946" s="174"/>
      <c r="I946" s="86" t="s">
        <v>2089</v>
      </c>
      <c r="J946" s="106">
        <v>774</v>
      </c>
      <c r="K946" s="110" t="s">
        <v>125</v>
      </c>
      <c r="L946" s="106"/>
      <c r="M946" s="3" t="s">
        <v>2091</v>
      </c>
      <c r="N946" s="106">
        <v>3</v>
      </c>
      <c r="O946" s="107"/>
      <c r="P946" s="107">
        <v>779.24</v>
      </c>
      <c r="Q946" s="28">
        <f>data[[#This Row],[Costo Producto
Proveedor ($/Unid)]]*data[[#This Row],[Cantidad]]</f>
        <v>0</v>
      </c>
      <c r="R946" s="28">
        <f>data[[#This Row],[Cantidad]]*data[[#This Row],[Precio de Venta Cliente ($/Unid)]]</f>
        <v>2337.7200000000003</v>
      </c>
      <c r="S946" s="29"/>
      <c r="T946" s="109" t="s">
        <v>36</v>
      </c>
      <c r="U946" s="109"/>
      <c r="V946" s="30" t="s">
        <v>46</v>
      </c>
      <c r="W946" s="32" t="s">
        <v>46</v>
      </c>
      <c r="X946" s="106" t="s">
        <v>503</v>
      </c>
      <c r="Y946" s="106" t="s">
        <v>503</v>
      </c>
      <c r="Z946" s="106" t="s">
        <v>50</v>
      </c>
      <c r="AA946" s="109"/>
    </row>
    <row r="947" spans="2:27" s="105" customFormat="1" x14ac:dyDescent="0.25">
      <c r="B947" s="174"/>
      <c r="C947" s="174" t="str">
        <f>TEXT(data[[#This Row],[Fecha de Envío
Cotización]],"MMMM")</f>
        <v>junio</v>
      </c>
      <c r="D947" s="124">
        <v>44361</v>
      </c>
      <c r="E947" s="174" t="str">
        <f>IF(data[[#This Row],[Estatus de 
Cotización]]="PERDIDO","N/A","")</f>
        <v/>
      </c>
      <c r="F947" s="174"/>
      <c r="G947" s="109"/>
      <c r="H947" s="174"/>
      <c r="I947" s="86" t="s">
        <v>2090</v>
      </c>
      <c r="J947" s="106">
        <v>774</v>
      </c>
      <c r="K947" s="110" t="s">
        <v>125</v>
      </c>
      <c r="L947" s="106"/>
      <c r="M947" s="3" t="s">
        <v>2092</v>
      </c>
      <c r="N947" s="106">
        <v>1</v>
      </c>
      <c r="O947" s="107"/>
      <c r="P947" s="107">
        <v>607.82000000000005</v>
      </c>
      <c r="Q947" s="28">
        <f>data[[#This Row],[Costo Producto
Proveedor ($/Unid)]]*data[[#This Row],[Cantidad]]</f>
        <v>0</v>
      </c>
      <c r="R947" s="28">
        <f>data[[#This Row],[Cantidad]]*data[[#This Row],[Precio de Venta Cliente ($/Unid)]]</f>
        <v>607.82000000000005</v>
      </c>
      <c r="S947" s="29"/>
      <c r="T947" s="31" t="s">
        <v>36</v>
      </c>
      <c r="U947" s="109"/>
      <c r="V947" s="30" t="s">
        <v>46</v>
      </c>
      <c r="W947" s="32" t="s">
        <v>46</v>
      </c>
      <c r="X947" s="106" t="s">
        <v>503</v>
      </c>
      <c r="Y947" s="106" t="s">
        <v>503</v>
      </c>
      <c r="Z947" s="106" t="s">
        <v>50</v>
      </c>
      <c r="AA947" s="109"/>
    </row>
    <row r="948" spans="2:27" s="105" customFormat="1" x14ac:dyDescent="0.25">
      <c r="B948" s="174"/>
      <c r="C948" s="174" t="str">
        <f>TEXT(data[[#This Row],[Fecha de Envío
Cotización]],"MMMM")</f>
        <v>junio</v>
      </c>
      <c r="D948" s="124">
        <v>44350</v>
      </c>
      <c r="E948" s="174" t="str">
        <f>IF(data[[#This Row],[Estatus de 
Cotización]]="PERDIDO","N/A","")</f>
        <v/>
      </c>
      <c r="F948" s="174"/>
      <c r="G948" s="109"/>
      <c r="H948" s="174"/>
      <c r="I948" s="86">
        <v>9611923021</v>
      </c>
      <c r="J948" s="106">
        <v>699</v>
      </c>
      <c r="K948" s="110" t="s">
        <v>283</v>
      </c>
      <c r="L948" s="106"/>
      <c r="M948" s="105" t="s">
        <v>1900</v>
      </c>
      <c r="N948" s="106">
        <v>1</v>
      </c>
      <c r="O948" s="107"/>
      <c r="P948" s="107">
        <v>261.48</v>
      </c>
      <c r="Q948" s="28">
        <f>data[[#This Row],[Costo Producto
Proveedor ($/Unid)]]*data[[#This Row],[Cantidad]]</f>
        <v>0</v>
      </c>
      <c r="R948" s="28">
        <f>data[[#This Row],[Cantidad]]*data[[#This Row],[Precio de Venta Cliente ($/Unid)]]</f>
        <v>261.48</v>
      </c>
      <c r="S948" s="29"/>
      <c r="T948" s="109" t="s">
        <v>36</v>
      </c>
      <c r="U948" s="109"/>
      <c r="V948" s="30" t="s">
        <v>46</v>
      </c>
      <c r="W948" s="32" t="s">
        <v>46</v>
      </c>
      <c r="X948" s="106" t="s">
        <v>23</v>
      </c>
      <c r="Y948" s="106" t="s">
        <v>23</v>
      </c>
      <c r="Z948" s="106" t="s">
        <v>50</v>
      </c>
      <c r="AA948" s="109"/>
    </row>
    <row r="949" spans="2:27" s="105" customFormat="1" x14ac:dyDescent="0.25">
      <c r="B949" s="174"/>
      <c r="C949" s="174" t="str">
        <f>TEXT(data[[#This Row],[Fecha de Envío
Cotización]],"MMMM")</f>
        <v>mayo</v>
      </c>
      <c r="D949" s="174">
        <v>44326</v>
      </c>
      <c r="E949" s="174" t="str">
        <f>IF(data[[#This Row],[Estatus de 
Cotización]]="PERDIDO","N/A","")</f>
        <v/>
      </c>
      <c r="F949" s="174"/>
      <c r="G949" s="109"/>
      <c r="H949" s="174"/>
      <c r="I949" s="86">
        <v>12190139874</v>
      </c>
      <c r="J949" s="86">
        <v>1550</v>
      </c>
      <c r="K949" s="24" t="s">
        <v>283</v>
      </c>
      <c r="L949" s="106"/>
      <c r="M949" s="108" t="s">
        <v>1379</v>
      </c>
      <c r="N949" s="106">
        <v>4</v>
      </c>
      <c r="O949" s="107"/>
      <c r="P949" s="107">
        <v>1607.66</v>
      </c>
      <c r="Q949" s="28">
        <f>data[[#This Row],[Costo Producto
Proveedor ($/Unid)]]*data[[#This Row],[Cantidad]]</f>
        <v>0</v>
      </c>
      <c r="R949" s="28">
        <f>data[[#This Row],[Cantidad]]*data[[#This Row],[Precio de Venta Cliente ($/Unid)]]</f>
        <v>6430.64</v>
      </c>
      <c r="S949" s="29"/>
      <c r="T949" s="106" t="s">
        <v>51</v>
      </c>
      <c r="U949" s="106"/>
      <c r="V949" s="30" t="s">
        <v>46</v>
      </c>
      <c r="W949" s="32" t="s">
        <v>46</v>
      </c>
      <c r="X949" s="106" t="s">
        <v>23</v>
      </c>
      <c r="Y949" s="106" t="s">
        <v>23</v>
      </c>
      <c r="Z949" s="106" t="s">
        <v>50</v>
      </c>
      <c r="AA949" s="106"/>
    </row>
    <row r="950" spans="2:27" s="105" customFormat="1" x14ac:dyDescent="0.25">
      <c r="B950" s="174"/>
      <c r="C950" s="174" t="str">
        <f>TEXT(data[[#This Row],[Fecha de Envío
Cotización]],"MMMM")</f>
        <v>mayo</v>
      </c>
      <c r="D950" s="174">
        <v>44327</v>
      </c>
      <c r="E950" s="174" t="str">
        <f>IF(data[[#This Row],[Estatus de 
Cotización]]="PERDIDO","N/A","")</f>
        <v/>
      </c>
      <c r="F950" s="174"/>
      <c r="G950" s="109"/>
      <c r="H950" s="174"/>
      <c r="I950" s="86">
        <v>5115993</v>
      </c>
      <c r="J950" s="106">
        <v>1559</v>
      </c>
      <c r="K950" s="110" t="s">
        <v>283</v>
      </c>
      <c r="L950" s="106"/>
      <c r="M950" s="111" t="s">
        <v>1379</v>
      </c>
      <c r="N950" s="106">
        <v>4</v>
      </c>
      <c r="O950" s="107"/>
      <c r="P950" s="107">
        <v>1676.91</v>
      </c>
      <c r="Q950" s="28">
        <f>data[[#This Row],[Costo Producto
Proveedor ($/Unid)]]*data[[#This Row],[Cantidad]]</f>
        <v>0</v>
      </c>
      <c r="R950" s="28">
        <f>data[[#This Row],[Cantidad]]*data[[#This Row],[Precio de Venta Cliente ($/Unid)]]</f>
        <v>6707.64</v>
      </c>
      <c r="S950" s="29"/>
      <c r="T950" s="109" t="s">
        <v>73</v>
      </c>
      <c r="U950" s="109"/>
      <c r="V950" s="30" t="s">
        <v>46</v>
      </c>
      <c r="W950" s="32" t="s">
        <v>46</v>
      </c>
      <c r="X950" s="106" t="s">
        <v>23</v>
      </c>
      <c r="Y950" s="106" t="s">
        <v>23</v>
      </c>
      <c r="Z950" s="106" t="s">
        <v>50</v>
      </c>
      <c r="AA950" s="109"/>
    </row>
    <row r="951" spans="2:27" s="105" customFormat="1" x14ac:dyDescent="0.25">
      <c r="B951" s="174"/>
      <c r="C951" s="174" t="str">
        <f>TEXT(data[[#This Row],[Fecha de Envío
Cotización]],"MMMM")</f>
        <v>junio</v>
      </c>
      <c r="D951" s="124">
        <v>44361</v>
      </c>
      <c r="E951" s="174" t="str">
        <f>IF(data[[#This Row],[Estatus de 
Cotización]]="PERDIDO","N/A","")</f>
        <v/>
      </c>
      <c r="F951" s="174"/>
      <c r="G951" s="109"/>
      <c r="H951" s="174"/>
      <c r="I951" s="86">
        <v>163271</v>
      </c>
      <c r="J951" s="106">
        <v>784</v>
      </c>
      <c r="K951" s="110" t="s">
        <v>1109</v>
      </c>
      <c r="L951" s="106"/>
      <c r="M951" s="3" t="s">
        <v>2145</v>
      </c>
      <c r="N951" s="106">
        <v>1</v>
      </c>
      <c r="O951" s="107"/>
      <c r="P951" s="107">
        <v>1457.96</v>
      </c>
      <c r="Q951" s="28">
        <f>data[[#This Row],[Costo Producto
Proveedor ($/Unid)]]*data[[#This Row],[Cantidad]]</f>
        <v>0</v>
      </c>
      <c r="R951" s="28">
        <f>data[[#This Row],[Cantidad]]*data[[#This Row],[Precio de Venta Cliente ($/Unid)]]</f>
        <v>1457.96</v>
      </c>
      <c r="S951" s="29"/>
      <c r="T951" s="31" t="s">
        <v>16</v>
      </c>
      <c r="U951" s="109"/>
      <c r="V951" s="30" t="s">
        <v>46</v>
      </c>
      <c r="W951" s="32" t="s">
        <v>46</v>
      </c>
      <c r="X951" s="106" t="s">
        <v>503</v>
      </c>
      <c r="Y951" s="106" t="s">
        <v>503</v>
      </c>
      <c r="Z951" s="106" t="s">
        <v>50</v>
      </c>
      <c r="AA951" s="109"/>
    </row>
    <row r="952" spans="2:27" s="105" customFormat="1" x14ac:dyDescent="0.25">
      <c r="B952" s="174"/>
      <c r="C952" s="174" t="str">
        <f>TEXT(data[[#This Row],[Fecha de Envío
Cotización]],"MMMM")</f>
        <v>junio</v>
      </c>
      <c r="D952" s="124">
        <v>44361</v>
      </c>
      <c r="E952" s="174" t="str">
        <f>IF(data[[#This Row],[Estatus de 
Cotización]]="PERDIDO","N/A","")</f>
        <v/>
      </c>
      <c r="F952" s="174"/>
      <c r="G952" s="109"/>
      <c r="H952" s="174"/>
      <c r="I952" s="86">
        <v>200400041</v>
      </c>
      <c r="J952" s="106">
        <v>785</v>
      </c>
      <c r="K952" s="110" t="s">
        <v>1109</v>
      </c>
      <c r="L952" s="106"/>
      <c r="M952" s="3" t="s">
        <v>2146</v>
      </c>
      <c r="N952" s="106">
        <v>100</v>
      </c>
      <c r="O952" s="107"/>
      <c r="P952" s="107">
        <v>10.83</v>
      </c>
      <c r="Q952" s="28">
        <f>data[[#This Row],[Costo Producto
Proveedor ($/Unid)]]*data[[#This Row],[Cantidad]]</f>
        <v>0</v>
      </c>
      <c r="R952" s="28">
        <f>data[[#This Row],[Cantidad]]*data[[#This Row],[Precio de Venta Cliente ($/Unid)]]</f>
        <v>1083</v>
      </c>
      <c r="S952" s="29"/>
      <c r="T952" s="31" t="s">
        <v>36</v>
      </c>
      <c r="U952" s="109"/>
      <c r="V952" s="30" t="s">
        <v>46</v>
      </c>
      <c r="W952" s="32" t="s">
        <v>46</v>
      </c>
      <c r="X952" s="106" t="s">
        <v>503</v>
      </c>
      <c r="Y952" s="106" t="s">
        <v>503</v>
      </c>
      <c r="Z952" s="106" t="s">
        <v>50</v>
      </c>
      <c r="AA952" s="109"/>
    </row>
    <row r="953" spans="2:27" s="37" customFormat="1" x14ac:dyDescent="0.25">
      <c r="B953" s="174"/>
      <c r="C953" s="174" t="str">
        <f>TEXT(data[[#This Row],[Fecha de Envío
Cotización]],"MMMM")</f>
        <v>junio</v>
      </c>
      <c r="D953" s="124">
        <v>44361</v>
      </c>
      <c r="E953" s="174" t="str">
        <f>IF(data[[#This Row],[Estatus de 
Cotización]]="PERDIDO","N/A","")</f>
        <v/>
      </c>
      <c r="F953" s="174"/>
      <c r="G953" s="109"/>
      <c r="H953" s="174"/>
      <c r="I953" s="86">
        <v>12190258533</v>
      </c>
      <c r="J953" s="106">
        <v>772</v>
      </c>
      <c r="K953" s="110" t="s">
        <v>283</v>
      </c>
      <c r="L953" s="106"/>
      <c r="M953" s="3" t="s">
        <v>2086</v>
      </c>
      <c r="N953" s="106">
        <v>1</v>
      </c>
      <c r="O953" s="107"/>
      <c r="P953" s="107">
        <v>1625.95</v>
      </c>
      <c r="Q953" s="28">
        <f>data[[#This Row],[Costo Producto
Proveedor ($/Unid)]]*data[[#This Row],[Cantidad]]</f>
        <v>0</v>
      </c>
      <c r="R953" s="28">
        <f>data[[#This Row],[Cantidad]]*data[[#This Row],[Precio de Venta Cliente ($/Unid)]]</f>
        <v>1625.95</v>
      </c>
      <c r="S953" s="29"/>
      <c r="T953" s="109" t="s">
        <v>36</v>
      </c>
      <c r="U953" s="109"/>
      <c r="V953" s="30" t="s">
        <v>46</v>
      </c>
      <c r="W953" s="32" t="s">
        <v>46</v>
      </c>
      <c r="X953" s="106" t="s">
        <v>503</v>
      </c>
      <c r="Y953" s="106" t="s">
        <v>503</v>
      </c>
      <c r="Z953" s="106" t="s">
        <v>50</v>
      </c>
      <c r="AA953" s="109"/>
    </row>
    <row r="954" spans="2:27" s="105" customFormat="1" x14ac:dyDescent="0.25">
      <c r="B954" s="174"/>
      <c r="C954" s="174" t="str">
        <f>TEXT(data[[#This Row],[Fecha de Envío
Cotización]],"MMMM")</f>
        <v>junio</v>
      </c>
      <c r="D954" s="124">
        <v>44363</v>
      </c>
      <c r="E954" s="174" t="str">
        <f>IF(data[[#This Row],[Estatus de 
Cotización]]="PERDIDO","N/A","")</f>
        <v/>
      </c>
      <c r="F954" s="174"/>
      <c r="G954" s="109"/>
      <c r="H954" s="174"/>
      <c r="I954" s="86">
        <v>7820241</v>
      </c>
      <c r="J954" s="106">
        <v>803</v>
      </c>
      <c r="K954" s="110" t="s">
        <v>33</v>
      </c>
      <c r="L954" s="106"/>
      <c r="M954" s="3" t="s">
        <v>2237</v>
      </c>
      <c r="N954" s="106">
        <v>2</v>
      </c>
      <c r="O954" s="107"/>
      <c r="P954" s="107">
        <v>2200.13</v>
      </c>
      <c r="Q954" s="28">
        <f>data[[#This Row],[Costo Producto
Proveedor ($/Unid)]]*data[[#This Row],[Cantidad]]</f>
        <v>0</v>
      </c>
      <c r="R954" s="28">
        <f>data[[#This Row],[Cantidad]]*data[[#This Row],[Precio de Venta Cliente ($/Unid)]]</f>
        <v>4400.26</v>
      </c>
      <c r="S954" s="29"/>
      <c r="T954" s="31" t="s">
        <v>36</v>
      </c>
      <c r="U954" s="109"/>
      <c r="V954" s="30" t="s">
        <v>46</v>
      </c>
      <c r="W954" s="32" t="s">
        <v>46</v>
      </c>
      <c r="X954" s="106" t="s">
        <v>503</v>
      </c>
      <c r="Y954" s="106" t="s">
        <v>503</v>
      </c>
      <c r="Z954" s="106" t="s">
        <v>50</v>
      </c>
      <c r="AA954" s="109"/>
    </row>
    <row r="955" spans="2:27" s="105" customFormat="1" x14ac:dyDescent="0.25">
      <c r="B955" s="174"/>
      <c r="C955" s="174" t="str">
        <f>TEXT(data[[#This Row],[Fecha de Envío
Cotización]],"MMMM")</f>
        <v>junio</v>
      </c>
      <c r="D955" s="124">
        <v>44363</v>
      </c>
      <c r="E955" s="174" t="str">
        <f>IF(data[[#This Row],[Estatus de 
Cotización]]="PERDIDO","N/A","")</f>
        <v/>
      </c>
      <c r="F955" s="174"/>
      <c r="G955" s="109"/>
      <c r="H955" s="174"/>
      <c r="I955" s="86">
        <v>7480240</v>
      </c>
      <c r="J955" s="106">
        <v>803</v>
      </c>
      <c r="K955" s="110" t="s">
        <v>33</v>
      </c>
      <c r="L955" s="106"/>
      <c r="M955" s="3" t="s">
        <v>2238</v>
      </c>
      <c r="N955" s="106">
        <v>1</v>
      </c>
      <c r="O955" s="107"/>
      <c r="P955" s="107">
        <v>3342.72</v>
      </c>
      <c r="Q955" s="28">
        <f>data[[#This Row],[Costo Producto
Proveedor ($/Unid)]]*data[[#This Row],[Cantidad]]</f>
        <v>0</v>
      </c>
      <c r="R955" s="28">
        <f>data[[#This Row],[Cantidad]]*data[[#This Row],[Precio de Venta Cliente ($/Unid)]]</f>
        <v>3342.72</v>
      </c>
      <c r="S955" s="29"/>
      <c r="T955" s="31" t="s">
        <v>36</v>
      </c>
      <c r="U955" s="109"/>
      <c r="V955" s="30" t="s">
        <v>46</v>
      </c>
      <c r="W955" s="32" t="s">
        <v>46</v>
      </c>
      <c r="X955" s="106" t="s">
        <v>503</v>
      </c>
      <c r="Y955" s="106" t="s">
        <v>503</v>
      </c>
      <c r="Z955" s="106" t="s">
        <v>50</v>
      </c>
      <c r="AA955" s="109"/>
    </row>
    <row r="956" spans="2:27" s="105" customFormat="1" x14ac:dyDescent="0.25">
      <c r="B956" s="174"/>
      <c r="C956" s="174" t="str">
        <f>TEXT(data[[#This Row],[Fecha de Envío
Cotización]],"MMMM")</f>
        <v>junio</v>
      </c>
      <c r="D956" s="124">
        <v>44364</v>
      </c>
      <c r="E956" s="174" t="str">
        <f>IF(data[[#This Row],[Estatus de 
Cotización]]="PERDIDO","N/A","")</f>
        <v/>
      </c>
      <c r="F956" s="174"/>
      <c r="G956" s="109"/>
      <c r="H956" s="174"/>
      <c r="I956" s="86">
        <v>7980933</v>
      </c>
      <c r="J956" s="106">
        <v>806</v>
      </c>
      <c r="K956" s="110" t="s">
        <v>33</v>
      </c>
      <c r="L956" s="106"/>
      <c r="M956" s="3" t="s">
        <v>2249</v>
      </c>
      <c r="N956" s="106">
        <v>1</v>
      </c>
      <c r="O956" s="107"/>
      <c r="P956" s="107">
        <v>15498.34</v>
      </c>
      <c r="Q956" s="28">
        <f>data[[#This Row],[Costo Producto
Proveedor ($/Unid)]]*data[[#This Row],[Cantidad]]</f>
        <v>0</v>
      </c>
      <c r="R956" s="28">
        <f>data[[#This Row],[Cantidad]]*data[[#This Row],[Precio de Venta Cliente ($/Unid)]]</f>
        <v>15498.34</v>
      </c>
      <c r="S956" s="29"/>
      <c r="T956" s="31" t="s">
        <v>124</v>
      </c>
      <c r="U956" s="109"/>
      <c r="V956" s="30" t="s">
        <v>46</v>
      </c>
      <c r="W956" s="32" t="s">
        <v>46</v>
      </c>
      <c r="X956" s="106" t="s">
        <v>503</v>
      </c>
      <c r="Y956" s="106" t="s">
        <v>503</v>
      </c>
      <c r="Z956" s="106" t="s">
        <v>50</v>
      </c>
      <c r="AA956" s="109"/>
    </row>
    <row r="957" spans="2:27" s="105" customFormat="1" x14ac:dyDescent="0.25">
      <c r="B957" s="174"/>
      <c r="C957" s="174" t="str">
        <f>TEXT(data[[#This Row],[Fecha de Envío
Cotización]],"MMMM")</f>
        <v>junio</v>
      </c>
      <c r="D957" s="124">
        <v>44364</v>
      </c>
      <c r="E957" s="174" t="str">
        <f>IF(data[[#This Row],[Estatus de 
Cotización]]="PERDIDO","N/A","")</f>
        <v/>
      </c>
      <c r="F957" s="174"/>
      <c r="G957" s="109"/>
      <c r="H957" s="174"/>
      <c r="I957" s="86">
        <v>7720419</v>
      </c>
      <c r="J957" s="106">
        <v>810</v>
      </c>
      <c r="K957" s="110" t="s">
        <v>33</v>
      </c>
      <c r="L957" s="106"/>
      <c r="M957" s="3" t="s">
        <v>2251</v>
      </c>
      <c r="N957" s="106">
        <v>1</v>
      </c>
      <c r="O957" s="107"/>
      <c r="P957" s="107">
        <v>480.17</v>
      </c>
      <c r="Q957" s="28">
        <f>data[[#This Row],[Costo Producto
Proveedor ($/Unid)]]*data[[#This Row],[Cantidad]]</f>
        <v>0</v>
      </c>
      <c r="R957" s="28">
        <f>data[[#This Row],[Cantidad]]*data[[#This Row],[Precio de Venta Cliente ($/Unid)]]</f>
        <v>480.17</v>
      </c>
      <c r="S957" s="29"/>
      <c r="T957" s="31" t="s">
        <v>36</v>
      </c>
      <c r="U957" s="109"/>
      <c r="V957" s="30" t="s">
        <v>46</v>
      </c>
      <c r="W957" s="32" t="s">
        <v>46</v>
      </c>
      <c r="X957" s="106" t="s">
        <v>503</v>
      </c>
      <c r="Y957" s="106" t="s">
        <v>503</v>
      </c>
      <c r="Z957" s="106" t="s">
        <v>50</v>
      </c>
      <c r="AA957" s="109"/>
    </row>
    <row r="958" spans="2:27" s="105" customFormat="1" x14ac:dyDescent="0.25">
      <c r="B958" s="174"/>
      <c r="C958" s="174" t="str">
        <f>TEXT(data[[#This Row],[Fecha de Envío
Cotización]],"MMMM")</f>
        <v>mayo</v>
      </c>
      <c r="D958" s="124">
        <v>44340</v>
      </c>
      <c r="E958" s="174" t="str">
        <f>IF(data[[#This Row],[Estatus de 
Cotización]]="PERDIDO","N/A","")</f>
        <v/>
      </c>
      <c r="F958" s="174"/>
      <c r="G958" s="109"/>
      <c r="H958" s="174"/>
      <c r="I958" s="86">
        <v>1000064661</v>
      </c>
      <c r="J958" s="106">
        <v>638</v>
      </c>
      <c r="K958" s="110" t="s">
        <v>283</v>
      </c>
      <c r="L958" s="106"/>
      <c r="M958" s="108" t="s">
        <v>1676</v>
      </c>
      <c r="N958" s="106">
        <v>1</v>
      </c>
      <c r="O958" s="107"/>
      <c r="P958" s="107">
        <v>600.15</v>
      </c>
      <c r="Q958" s="28">
        <f>data[[#This Row],[Costo Producto
Proveedor ($/Unid)]]*data[[#This Row],[Cantidad]]</f>
        <v>0</v>
      </c>
      <c r="R958" s="28">
        <f>data[[#This Row],[Cantidad]]*data[[#This Row],[Precio de Venta Cliente ($/Unid)]]</f>
        <v>600.15</v>
      </c>
      <c r="S958" s="29"/>
      <c r="T958" s="109" t="s">
        <v>124</v>
      </c>
      <c r="U958" s="109"/>
      <c r="V958" s="30" t="s">
        <v>46</v>
      </c>
      <c r="W958" s="32" t="s">
        <v>46</v>
      </c>
      <c r="X958" s="106" t="s">
        <v>23</v>
      </c>
      <c r="Y958" s="106" t="s">
        <v>23</v>
      </c>
      <c r="Z958" s="106" t="s">
        <v>50</v>
      </c>
      <c r="AA958" s="109"/>
    </row>
    <row r="959" spans="2:27" s="105" customFormat="1" x14ac:dyDescent="0.25">
      <c r="B959" s="174"/>
      <c r="C959" s="174" t="str">
        <f>TEXT(data[[#This Row],[Fecha de Envío
Cotización]],"MMMM")</f>
        <v>mayo</v>
      </c>
      <c r="D959" s="124">
        <v>44340</v>
      </c>
      <c r="E959" s="174" t="str">
        <f>IF(data[[#This Row],[Estatus de 
Cotización]]="PERDIDO","N/A","")</f>
        <v/>
      </c>
      <c r="F959" s="174"/>
      <c r="G959" s="109"/>
      <c r="H959" s="174"/>
      <c r="I959" s="86" t="s">
        <v>1675</v>
      </c>
      <c r="J959" s="106">
        <v>638</v>
      </c>
      <c r="K959" s="110" t="s">
        <v>283</v>
      </c>
      <c r="L959" s="106"/>
      <c r="M959" s="108" t="s">
        <v>1677</v>
      </c>
      <c r="N959" s="106">
        <v>1</v>
      </c>
      <c r="O959" s="107"/>
      <c r="P959" s="107">
        <v>580.16999999999996</v>
      </c>
      <c r="Q959" s="28">
        <f>data[[#This Row],[Costo Producto
Proveedor ($/Unid)]]*data[[#This Row],[Cantidad]]</f>
        <v>0</v>
      </c>
      <c r="R959" s="28">
        <f>data[[#This Row],[Cantidad]]*data[[#This Row],[Precio de Venta Cliente ($/Unid)]]</f>
        <v>580.16999999999996</v>
      </c>
      <c r="S959" s="29"/>
      <c r="T959" s="109" t="s">
        <v>124</v>
      </c>
      <c r="U959" s="109"/>
      <c r="V959" s="30" t="s">
        <v>46</v>
      </c>
      <c r="W959" s="32" t="s">
        <v>46</v>
      </c>
      <c r="X959" s="106" t="s">
        <v>23</v>
      </c>
      <c r="Y959" s="106" t="s">
        <v>23</v>
      </c>
      <c r="Z959" s="106" t="s">
        <v>50</v>
      </c>
      <c r="AA959" s="109"/>
    </row>
    <row r="960" spans="2:27" s="105" customFormat="1" ht="15.75" x14ac:dyDescent="0.25">
      <c r="B960" s="174"/>
      <c r="C960" s="174" t="str">
        <f>TEXT(data[[#This Row],[Fecha de Envío
Cotización]],"MMMM")</f>
        <v>junio</v>
      </c>
      <c r="D960" s="124">
        <v>44365</v>
      </c>
      <c r="E960" s="174" t="str">
        <f>IF(data[[#This Row],[Estatus de 
Cotización]]="PERDIDO","N/A","")</f>
        <v/>
      </c>
      <c r="F960" s="174"/>
      <c r="G960" s="109"/>
      <c r="H960" s="174"/>
      <c r="I960" s="86">
        <v>1383588</v>
      </c>
      <c r="J960" s="106">
        <v>820</v>
      </c>
      <c r="K960" s="110" t="s">
        <v>2194</v>
      </c>
      <c r="L960" s="106"/>
      <c r="M960" s="3" t="s">
        <v>2195</v>
      </c>
      <c r="N960" s="106">
        <v>8</v>
      </c>
      <c r="O960" s="107"/>
      <c r="P960" s="107">
        <v>237.4</v>
      </c>
      <c r="Q960" s="28">
        <f>data[[#This Row],[Costo Producto
Proveedor ($/Unid)]]*data[[#This Row],[Cantidad]]</f>
        <v>0</v>
      </c>
      <c r="R960" s="28">
        <f>data[[#This Row],[Cantidad]]*data[[#This Row],[Precio de Venta Cliente ($/Unid)]]</f>
        <v>1899.2</v>
      </c>
      <c r="S960" s="29"/>
      <c r="T960" s="31" t="s">
        <v>16</v>
      </c>
      <c r="U960" s="109"/>
      <c r="V960" s="30" t="s">
        <v>473</v>
      </c>
      <c r="W960" s="32" t="s">
        <v>473</v>
      </c>
      <c r="X960" s="106" t="s">
        <v>23</v>
      </c>
      <c r="Y960" s="106" t="s">
        <v>23</v>
      </c>
      <c r="Z960" s="106" t="s">
        <v>50</v>
      </c>
      <c r="AA960" s="112" t="s">
        <v>2272</v>
      </c>
    </row>
    <row r="961" spans="2:27" s="105" customFormat="1" ht="15.75" x14ac:dyDescent="0.25">
      <c r="B961" s="174"/>
      <c r="C961" s="174" t="str">
        <f>TEXT(data[[#This Row],[Fecha de Envío
Cotización]],"MMMM")</f>
        <v>junio</v>
      </c>
      <c r="D961" s="124">
        <v>44365</v>
      </c>
      <c r="E961" s="174" t="str">
        <f>IF(data[[#This Row],[Estatus de 
Cotización]]="PERDIDO","N/A","")</f>
        <v/>
      </c>
      <c r="F961" s="174"/>
      <c r="G961" s="109"/>
      <c r="H961" s="174"/>
      <c r="I961" s="86">
        <v>163344</v>
      </c>
      <c r="J961" s="106">
        <v>820</v>
      </c>
      <c r="K961" s="110" t="s">
        <v>2194</v>
      </c>
      <c r="L961" s="106"/>
      <c r="M961" s="3" t="s">
        <v>2196</v>
      </c>
      <c r="N961" s="106">
        <v>5</v>
      </c>
      <c r="O961" s="107"/>
      <c r="P961" s="107">
        <v>120.75</v>
      </c>
      <c r="Q961" s="28">
        <f>data[[#This Row],[Costo Producto
Proveedor ($/Unid)]]*data[[#This Row],[Cantidad]]</f>
        <v>0</v>
      </c>
      <c r="R961" s="28">
        <f>data[[#This Row],[Cantidad]]*data[[#This Row],[Precio de Venta Cliente ($/Unid)]]</f>
        <v>603.75</v>
      </c>
      <c r="S961" s="29"/>
      <c r="T961" s="31" t="s">
        <v>16</v>
      </c>
      <c r="U961" s="109"/>
      <c r="V961" s="30" t="s">
        <v>473</v>
      </c>
      <c r="W961" s="32" t="s">
        <v>473</v>
      </c>
      <c r="X961" s="106" t="s">
        <v>23</v>
      </c>
      <c r="Y961" s="106" t="s">
        <v>23</v>
      </c>
      <c r="Z961" s="106" t="s">
        <v>50</v>
      </c>
      <c r="AA961" s="112" t="s">
        <v>2272</v>
      </c>
    </row>
    <row r="962" spans="2:27" s="105" customFormat="1" ht="15.75" x14ac:dyDescent="0.25">
      <c r="B962" s="174"/>
      <c r="C962" s="174" t="str">
        <f>TEXT(data[[#This Row],[Fecha de Envío
Cotización]],"MMMM")</f>
        <v>junio</v>
      </c>
      <c r="D962" s="124">
        <v>44365</v>
      </c>
      <c r="E962" s="174" t="str">
        <f>IF(data[[#This Row],[Estatus de 
Cotización]]="PERDIDO","N/A","")</f>
        <v/>
      </c>
      <c r="F962" s="174"/>
      <c r="G962" s="109"/>
      <c r="H962" s="174"/>
      <c r="I962" s="86">
        <v>163504</v>
      </c>
      <c r="J962" s="106">
        <v>820</v>
      </c>
      <c r="K962" s="110" t="s">
        <v>2194</v>
      </c>
      <c r="L962" s="106"/>
      <c r="M962" s="3" t="s">
        <v>2197</v>
      </c>
      <c r="N962" s="106">
        <v>3</v>
      </c>
      <c r="O962" s="107"/>
      <c r="P962" s="107">
        <v>384.51</v>
      </c>
      <c r="Q962" s="28">
        <f>data[[#This Row],[Costo Producto
Proveedor ($/Unid)]]*data[[#This Row],[Cantidad]]</f>
        <v>0</v>
      </c>
      <c r="R962" s="28">
        <f>data[[#This Row],[Cantidad]]*data[[#This Row],[Precio de Venta Cliente ($/Unid)]]</f>
        <v>1153.53</v>
      </c>
      <c r="S962" s="29"/>
      <c r="T962" s="31" t="s">
        <v>16</v>
      </c>
      <c r="U962" s="109"/>
      <c r="V962" s="30" t="s">
        <v>473</v>
      </c>
      <c r="W962" s="32" t="s">
        <v>473</v>
      </c>
      <c r="X962" s="106" t="s">
        <v>23</v>
      </c>
      <c r="Y962" s="106" t="s">
        <v>23</v>
      </c>
      <c r="Z962" s="106" t="s">
        <v>50</v>
      </c>
      <c r="AA962" s="112" t="s">
        <v>2272</v>
      </c>
    </row>
    <row r="963" spans="2:27" s="105" customFormat="1" ht="15.75" x14ac:dyDescent="0.25">
      <c r="B963" s="174"/>
      <c r="C963" s="174" t="str">
        <f>TEXT(data[[#This Row],[Fecha de Envío
Cotización]],"MMMM")</f>
        <v>junio</v>
      </c>
      <c r="D963" s="124">
        <v>44365</v>
      </c>
      <c r="E963" s="174" t="str">
        <f>IF(data[[#This Row],[Estatus de 
Cotización]]="PERDIDO","N/A","")</f>
        <v/>
      </c>
      <c r="F963" s="174"/>
      <c r="G963" s="109"/>
      <c r="H963" s="174"/>
      <c r="I963" s="86">
        <v>532723</v>
      </c>
      <c r="J963" s="106">
        <v>820</v>
      </c>
      <c r="K963" s="110" t="s">
        <v>2194</v>
      </c>
      <c r="L963" s="106"/>
      <c r="M963" s="3" t="s">
        <v>2198</v>
      </c>
      <c r="N963" s="106">
        <v>1</v>
      </c>
      <c r="O963" s="107"/>
      <c r="P963" s="107">
        <v>328.45</v>
      </c>
      <c r="Q963" s="28">
        <f>data[[#This Row],[Costo Producto
Proveedor ($/Unid)]]*data[[#This Row],[Cantidad]]</f>
        <v>0</v>
      </c>
      <c r="R963" s="28">
        <f>data[[#This Row],[Cantidad]]*data[[#This Row],[Precio de Venta Cliente ($/Unid)]]</f>
        <v>328.45</v>
      </c>
      <c r="S963" s="29"/>
      <c r="T963" s="31" t="s">
        <v>16</v>
      </c>
      <c r="U963" s="109"/>
      <c r="V963" s="30" t="s">
        <v>473</v>
      </c>
      <c r="W963" s="32" t="s">
        <v>473</v>
      </c>
      <c r="X963" s="106" t="s">
        <v>23</v>
      </c>
      <c r="Y963" s="106" t="s">
        <v>23</v>
      </c>
      <c r="Z963" s="106" t="s">
        <v>50</v>
      </c>
      <c r="AA963" s="112" t="s">
        <v>2272</v>
      </c>
    </row>
    <row r="964" spans="2:27" s="105" customFormat="1" ht="15.75" x14ac:dyDescent="0.25">
      <c r="B964" s="174"/>
      <c r="C964" s="174" t="str">
        <f>TEXT(data[[#This Row],[Fecha de Envío
Cotización]],"MMMM")</f>
        <v>junio</v>
      </c>
      <c r="D964" s="124">
        <v>44365</v>
      </c>
      <c r="E964" s="174" t="str">
        <f>IF(data[[#This Row],[Estatus de 
Cotización]]="PERDIDO","N/A","")</f>
        <v/>
      </c>
      <c r="F964" s="174"/>
      <c r="G964" s="109"/>
      <c r="H964" s="174"/>
      <c r="I964" s="86">
        <v>163503</v>
      </c>
      <c r="J964" s="106">
        <v>820</v>
      </c>
      <c r="K964" s="110" t="s">
        <v>2194</v>
      </c>
      <c r="L964" s="106"/>
      <c r="M964" s="3" t="s">
        <v>2199</v>
      </c>
      <c r="N964" s="106">
        <v>1</v>
      </c>
      <c r="O964" s="107"/>
      <c r="P964" s="107">
        <v>354.55</v>
      </c>
      <c r="Q964" s="28">
        <f>data[[#This Row],[Costo Producto
Proveedor ($/Unid)]]*data[[#This Row],[Cantidad]]</f>
        <v>0</v>
      </c>
      <c r="R964" s="28">
        <f>data[[#This Row],[Cantidad]]*data[[#This Row],[Precio de Venta Cliente ($/Unid)]]</f>
        <v>354.55</v>
      </c>
      <c r="S964" s="29"/>
      <c r="T964" s="31" t="s">
        <v>16</v>
      </c>
      <c r="U964" s="109"/>
      <c r="V964" s="30" t="s">
        <v>473</v>
      </c>
      <c r="W964" s="32" t="s">
        <v>473</v>
      </c>
      <c r="X964" s="106" t="s">
        <v>23</v>
      </c>
      <c r="Y964" s="106" t="s">
        <v>23</v>
      </c>
      <c r="Z964" s="106" t="s">
        <v>50</v>
      </c>
      <c r="AA964" s="112" t="s">
        <v>2272</v>
      </c>
    </row>
    <row r="965" spans="2:27" s="105" customFormat="1" ht="15.75" x14ac:dyDescent="0.25">
      <c r="B965" s="174"/>
      <c r="C965" s="174" t="str">
        <f>TEXT(data[[#This Row],[Fecha de Envío
Cotización]],"MMMM")</f>
        <v>junio</v>
      </c>
      <c r="D965" s="124">
        <v>44368</v>
      </c>
      <c r="E965" s="174"/>
      <c r="F965" s="174"/>
      <c r="G965" s="109"/>
      <c r="H965" s="174"/>
      <c r="I965" s="86" t="s">
        <v>2286</v>
      </c>
      <c r="J965" s="106">
        <v>833</v>
      </c>
      <c r="K965" s="110" t="s">
        <v>117</v>
      </c>
      <c r="L965" s="106"/>
      <c r="M965" s="3" t="s">
        <v>2287</v>
      </c>
      <c r="N965" s="106">
        <v>1</v>
      </c>
      <c r="O965" s="107"/>
      <c r="P965" s="107">
        <v>356.45</v>
      </c>
      <c r="Q965" s="28">
        <f>data[[#This Row],[Costo Producto
Proveedor ($/Unid)]]*data[[#This Row],[Cantidad]]</f>
        <v>0</v>
      </c>
      <c r="R965" s="28">
        <f>data[[#This Row],[Cantidad]]*data[[#This Row],[Precio de Venta Cliente ($/Unid)]]</f>
        <v>356.45</v>
      </c>
      <c r="S965" s="29"/>
      <c r="T965" s="31" t="s">
        <v>36</v>
      </c>
      <c r="U965" s="109"/>
      <c r="V965" s="30" t="s">
        <v>46</v>
      </c>
      <c r="W965" s="32" t="s">
        <v>46</v>
      </c>
      <c r="X965" s="106" t="s">
        <v>503</v>
      </c>
      <c r="Y965" s="106" t="s">
        <v>503</v>
      </c>
      <c r="Z965" s="106" t="s">
        <v>50</v>
      </c>
      <c r="AA965" s="112"/>
    </row>
    <row r="966" spans="2:27" s="105" customFormat="1" ht="15.75" x14ac:dyDescent="0.25">
      <c r="B966" s="174"/>
      <c r="C966" s="174" t="str">
        <f>TEXT(data[[#This Row],[Fecha de Envío
Cotización]],"MMMM")</f>
        <v>junio</v>
      </c>
      <c r="D966" s="174">
        <v>44368</v>
      </c>
      <c r="E966" s="174"/>
      <c r="F966" s="174"/>
      <c r="G966" s="109"/>
      <c r="H966" s="174"/>
      <c r="I966" s="86" t="s">
        <v>2299</v>
      </c>
      <c r="J966" s="87">
        <v>836</v>
      </c>
      <c r="K966" s="24" t="s">
        <v>33</v>
      </c>
      <c r="L966" s="22"/>
      <c r="M966" s="108" t="s">
        <v>2300</v>
      </c>
      <c r="N966" s="22">
        <v>4</v>
      </c>
      <c r="O966" s="26"/>
      <c r="P966" s="27">
        <v>59.37</v>
      </c>
      <c r="Q966" s="28">
        <f>data[[#This Row],[Costo Producto
Proveedor ($/Unid)]]*data[[#This Row],[Cantidad]]</f>
        <v>0</v>
      </c>
      <c r="R966" s="28">
        <f>data[[#This Row],[Cantidad]]*data[[#This Row],[Precio de Venta Cliente ($/Unid)]]</f>
        <v>237.48</v>
      </c>
      <c r="S966" s="29"/>
      <c r="T966" s="106" t="s">
        <v>22</v>
      </c>
      <c r="U966" s="106"/>
      <c r="V966" s="30" t="s">
        <v>46</v>
      </c>
      <c r="W966" s="174" t="s">
        <v>46</v>
      </c>
      <c r="X966" s="22" t="s">
        <v>503</v>
      </c>
      <c r="Y966" s="22" t="s">
        <v>503</v>
      </c>
      <c r="Z966" s="22" t="s">
        <v>50</v>
      </c>
      <c r="AA966" s="5"/>
    </row>
    <row r="967" spans="2:27" s="105" customFormat="1" ht="15.75" x14ac:dyDescent="0.25">
      <c r="B967" s="174"/>
      <c r="C967" s="174" t="str">
        <f>TEXT(data[[#This Row],[Fecha de Envío
Cotización]],"MMMM")</f>
        <v>junio</v>
      </c>
      <c r="D967" s="174">
        <v>44370</v>
      </c>
      <c r="E967" s="174"/>
      <c r="F967" s="174"/>
      <c r="G967" s="109"/>
      <c r="H967" s="174"/>
      <c r="I967" s="86" t="s">
        <v>2399</v>
      </c>
      <c r="J967" s="87">
        <v>855</v>
      </c>
      <c r="K967" s="24" t="s">
        <v>129</v>
      </c>
      <c r="L967" s="106"/>
      <c r="M967" s="108" t="s">
        <v>2400</v>
      </c>
      <c r="N967" s="106">
        <v>1</v>
      </c>
      <c r="O967" s="107"/>
      <c r="P967" s="27">
        <v>232.89</v>
      </c>
      <c r="Q967" s="28">
        <f>data[[#This Row],[Costo Producto
Proveedor ($/Unid)]]*data[[#This Row],[Cantidad]]</f>
        <v>0</v>
      </c>
      <c r="R967" s="28">
        <f>data[[#This Row],[Cantidad]]*data[[#This Row],[Precio de Venta Cliente ($/Unid)]]</f>
        <v>232.89</v>
      </c>
      <c r="S967" s="29"/>
      <c r="T967" s="106" t="s">
        <v>16</v>
      </c>
      <c r="U967" s="106"/>
      <c r="V967" s="30" t="s">
        <v>46</v>
      </c>
      <c r="W967" s="174" t="s">
        <v>46</v>
      </c>
      <c r="X967" s="106" t="s">
        <v>503</v>
      </c>
      <c r="Y967" s="106" t="s">
        <v>503</v>
      </c>
      <c r="Z967" s="106" t="s">
        <v>50</v>
      </c>
      <c r="AA967" s="5"/>
    </row>
    <row r="968" spans="2:27" s="105" customFormat="1" x14ac:dyDescent="0.25">
      <c r="B968" s="174"/>
      <c r="C968" s="174" t="str">
        <f>TEXT(data[[#This Row],[Fecha de Envío
Cotización]],"MMMM")</f>
        <v>mayo</v>
      </c>
      <c r="D968" s="174">
        <v>44329</v>
      </c>
      <c r="E968" s="174" t="str">
        <f>IF(data[[#This Row],[Estatus de 
Cotización]]="PERDIDO","N/A","")</f>
        <v/>
      </c>
      <c r="F968" s="174"/>
      <c r="G968" s="109"/>
      <c r="H968" s="174"/>
      <c r="I968" s="86">
        <v>51151008</v>
      </c>
      <c r="J968" s="106">
        <v>1571</v>
      </c>
      <c r="K968" s="110" t="s">
        <v>283</v>
      </c>
      <c r="L968" s="106"/>
      <c r="M968" s="108" t="s">
        <v>1459</v>
      </c>
      <c r="N968" s="106">
        <v>4</v>
      </c>
      <c r="O968" s="107"/>
      <c r="P968" s="107">
        <v>1005.93</v>
      </c>
      <c r="Q968" s="28">
        <f>data[[#This Row],[Costo Producto
Proveedor ($/Unid)]]*data[[#This Row],[Cantidad]]</f>
        <v>0</v>
      </c>
      <c r="R968" s="28">
        <f>data[[#This Row],[Cantidad]]*data[[#This Row],[Precio de Venta Cliente ($/Unid)]]</f>
        <v>4023.72</v>
      </c>
      <c r="S968" s="29"/>
      <c r="T968" s="109" t="s">
        <v>419</v>
      </c>
      <c r="U968" s="109"/>
      <c r="V968" s="30" t="s">
        <v>46</v>
      </c>
      <c r="W968" s="32" t="s">
        <v>46</v>
      </c>
      <c r="X968" s="106" t="s">
        <v>23</v>
      </c>
      <c r="Y968" s="106" t="s">
        <v>23</v>
      </c>
      <c r="Z968" s="106" t="s">
        <v>50</v>
      </c>
      <c r="AA968" s="109"/>
    </row>
    <row r="969" spans="2:27" s="105" customFormat="1" ht="15.75" x14ac:dyDescent="0.25">
      <c r="B969" s="174"/>
      <c r="C969" s="174" t="str">
        <f>TEXT(data[[#This Row],[Fecha de Envío
Cotización]],"MMMM")</f>
        <v>junio</v>
      </c>
      <c r="D969" s="174">
        <v>44372</v>
      </c>
      <c r="E969" s="174"/>
      <c r="F969" s="174"/>
      <c r="G969" s="109"/>
      <c r="H969" s="174"/>
      <c r="I969" s="86">
        <v>6027538</v>
      </c>
      <c r="J969" s="87">
        <v>864</v>
      </c>
      <c r="K969" s="24" t="s">
        <v>33</v>
      </c>
      <c r="L969" s="106"/>
      <c r="M969" s="105" t="s">
        <v>2441</v>
      </c>
      <c r="N969" s="106">
        <v>4</v>
      </c>
      <c r="O969" s="107"/>
      <c r="P969" s="27">
        <v>148.05000000000001</v>
      </c>
      <c r="Q969" s="28">
        <f>data[[#This Row],[Costo Producto
Proveedor ($/Unid)]]*data[[#This Row],[Cantidad]]</f>
        <v>0</v>
      </c>
      <c r="R969" s="28">
        <f>data[[#This Row],[Cantidad]]*data[[#This Row],[Precio de Venta Cliente ($/Unid)]]</f>
        <v>592.20000000000005</v>
      </c>
      <c r="S969" s="29"/>
      <c r="T969" s="106" t="s">
        <v>16</v>
      </c>
      <c r="U969" s="106"/>
      <c r="V969" s="30" t="s">
        <v>46</v>
      </c>
      <c r="W969" s="174" t="s">
        <v>46</v>
      </c>
      <c r="X969" s="106" t="s">
        <v>503</v>
      </c>
      <c r="Y969" s="106" t="s">
        <v>503</v>
      </c>
      <c r="Z969" s="106" t="s">
        <v>50</v>
      </c>
      <c r="AA969" s="5"/>
    </row>
    <row r="970" spans="2:27" s="105" customFormat="1" ht="15.75" x14ac:dyDescent="0.25">
      <c r="B970" s="174"/>
      <c r="C970" s="174" t="str">
        <f>TEXT(data[[#This Row],[Fecha de Envío
Cotización]],"MMMM")</f>
        <v>junio</v>
      </c>
      <c r="D970" s="174">
        <v>44372</v>
      </c>
      <c r="E970" s="174"/>
      <c r="F970" s="174"/>
      <c r="G970" s="109"/>
      <c r="H970" s="174"/>
      <c r="I970" s="86" t="s">
        <v>2474</v>
      </c>
      <c r="J970" s="87">
        <v>867</v>
      </c>
      <c r="K970" s="24" t="s">
        <v>126</v>
      </c>
      <c r="L970" s="106"/>
      <c r="M970" s="105" t="s">
        <v>2476</v>
      </c>
      <c r="N970" s="106">
        <v>1</v>
      </c>
      <c r="O970" s="107"/>
      <c r="P970" s="27">
        <v>287.97000000000003</v>
      </c>
      <c r="Q970" s="28">
        <f>data[[#This Row],[Costo Producto
Proveedor ($/Unid)]]*data[[#This Row],[Cantidad]]</f>
        <v>0</v>
      </c>
      <c r="R970" s="28">
        <f>data[[#This Row],[Cantidad]]*data[[#This Row],[Precio de Venta Cliente ($/Unid)]]</f>
        <v>287.97000000000003</v>
      </c>
      <c r="S970" s="29"/>
      <c r="T970" s="106" t="s">
        <v>36</v>
      </c>
      <c r="U970" s="106"/>
      <c r="V970" s="30" t="s">
        <v>46</v>
      </c>
      <c r="W970" s="174" t="s">
        <v>46</v>
      </c>
      <c r="X970" s="106" t="s">
        <v>503</v>
      </c>
      <c r="Y970" s="106" t="s">
        <v>503</v>
      </c>
      <c r="Z970" s="106" t="s">
        <v>50</v>
      </c>
      <c r="AA970" s="5"/>
    </row>
    <row r="971" spans="2:27" s="105" customFormat="1" ht="15.75" x14ac:dyDescent="0.25">
      <c r="B971" s="174"/>
      <c r="C971" s="174" t="str">
        <f>TEXT(data[[#This Row],[Fecha de Envío
Cotización]],"MMMM")</f>
        <v>junio</v>
      </c>
      <c r="D971" s="174">
        <v>44372</v>
      </c>
      <c r="E971" s="174"/>
      <c r="F971" s="174"/>
      <c r="G971" s="109"/>
      <c r="H971" s="174"/>
      <c r="I971" s="86" t="s">
        <v>2475</v>
      </c>
      <c r="J971" s="87">
        <v>867</v>
      </c>
      <c r="K971" s="24" t="s">
        <v>126</v>
      </c>
      <c r="L971" s="106"/>
      <c r="M971" s="105" t="s">
        <v>2477</v>
      </c>
      <c r="N971" s="106">
        <v>2</v>
      </c>
      <c r="O971" s="107"/>
      <c r="P971" s="27">
        <v>418.56</v>
      </c>
      <c r="Q971" s="28">
        <f>data[[#This Row],[Costo Producto
Proveedor ($/Unid)]]*data[[#This Row],[Cantidad]]</f>
        <v>0</v>
      </c>
      <c r="R971" s="28">
        <f>data[[#This Row],[Cantidad]]*data[[#This Row],[Precio de Venta Cliente ($/Unid)]]</f>
        <v>837.12</v>
      </c>
      <c r="S971" s="29"/>
      <c r="T971" s="106" t="s">
        <v>36</v>
      </c>
      <c r="U971" s="106"/>
      <c r="V971" s="30" t="s">
        <v>46</v>
      </c>
      <c r="W971" s="174" t="s">
        <v>46</v>
      </c>
      <c r="X971" s="106" t="s">
        <v>503</v>
      </c>
      <c r="Y971" s="106" t="s">
        <v>503</v>
      </c>
      <c r="Z971" s="106" t="s">
        <v>50</v>
      </c>
      <c r="AA971" s="5"/>
    </row>
    <row r="972" spans="2:27" s="105" customFormat="1" x14ac:dyDescent="0.25">
      <c r="B972" s="174"/>
      <c r="C972" s="174" t="str">
        <f>TEXT(data[[#This Row],[Fecha de Envío
Cotización]],"MMMM")</f>
        <v>mayo</v>
      </c>
      <c r="D972" s="174">
        <v>44333</v>
      </c>
      <c r="E972" s="174" t="str">
        <f>IF(data[[#This Row],[Estatus de 
Cotización]]="PERDIDO","N/A","")</f>
        <v/>
      </c>
      <c r="F972" s="174"/>
      <c r="G972" s="109"/>
      <c r="H972" s="174"/>
      <c r="I972" s="86">
        <v>511510024</v>
      </c>
      <c r="J972" s="106">
        <v>1578</v>
      </c>
      <c r="K972" s="110" t="s">
        <v>283</v>
      </c>
      <c r="L972" s="106"/>
      <c r="M972" s="108" t="s">
        <v>1489</v>
      </c>
      <c r="N972" s="106">
        <v>1</v>
      </c>
      <c r="O972" s="107"/>
      <c r="P972" s="107">
        <v>1379.47</v>
      </c>
      <c r="Q972" s="28">
        <f>data[[#This Row],[Costo Producto
Proveedor ($/Unid)]]*data[[#This Row],[Cantidad]]</f>
        <v>0</v>
      </c>
      <c r="R972" s="28">
        <f>data[[#This Row],[Cantidad]]*data[[#This Row],[Precio de Venta Cliente ($/Unid)]]</f>
        <v>1379.47</v>
      </c>
      <c r="S972" s="29"/>
      <c r="T972" s="109" t="s">
        <v>134</v>
      </c>
      <c r="U972" s="109"/>
      <c r="V972" s="30" t="s">
        <v>46</v>
      </c>
      <c r="W972" s="32" t="s">
        <v>46</v>
      </c>
      <c r="X972" s="106" t="s">
        <v>23</v>
      </c>
      <c r="Y972" s="106" t="s">
        <v>23</v>
      </c>
      <c r="Z972" s="106" t="s">
        <v>50</v>
      </c>
      <c r="AA972" s="109"/>
    </row>
    <row r="973" spans="2:27" s="105" customFormat="1" ht="15.75" x14ac:dyDescent="0.25">
      <c r="B973" s="174"/>
      <c r="C973" s="174" t="str">
        <f>TEXT(data[[#This Row],[Fecha de Envío
Cotización]],"MMMM")</f>
        <v>junio</v>
      </c>
      <c r="D973" s="174">
        <v>44375</v>
      </c>
      <c r="E973" s="174"/>
      <c r="F973" s="174"/>
      <c r="G973" s="109"/>
      <c r="H973" s="174"/>
      <c r="I973" s="86">
        <v>154693</v>
      </c>
      <c r="J973" s="87">
        <v>872</v>
      </c>
      <c r="K973" s="24" t="s">
        <v>126</v>
      </c>
      <c r="L973" s="106"/>
      <c r="M973" s="105" t="s">
        <v>2500</v>
      </c>
      <c r="N973" s="106">
        <v>3</v>
      </c>
      <c r="O973" s="107"/>
      <c r="P973" s="27">
        <v>234.83</v>
      </c>
      <c r="Q973" s="28">
        <f>data[[#This Row],[Costo Producto
Proveedor ($/Unid)]]*data[[#This Row],[Cantidad]]</f>
        <v>0</v>
      </c>
      <c r="R973" s="28">
        <f>data[[#This Row],[Cantidad]]*data[[#This Row],[Precio de Venta Cliente ($/Unid)]]</f>
        <v>704.49</v>
      </c>
      <c r="S973" s="29"/>
      <c r="T973" s="106" t="s">
        <v>16</v>
      </c>
      <c r="U973" s="106"/>
      <c r="V973" s="30" t="s">
        <v>46</v>
      </c>
      <c r="W973" s="174" t="s">
        <v>46</v>
      </c>
      <c r="X973" s="106" t="s">
        <v>503</v>
      </c>
      <c r="Y973" s="106" t="s">
        <v>503</v>
      </c>
      <c r="Z973" s="106" t="s">
        <v>50</v>
      </c>
      <c r="AA973" s="5"/>
    </row>
    <row r="974" spans="2:27" s="105" customFormat="1" ht="15.75" x14ac:dyDescent="0.25">
      <c r="B974" s="174"/>
      <c r="C974" s="174" t="str">
        <f>TEXT(data[[#This Row],[Fecha de Envío
Cotización]],"MMMM")</f>
        <v>junio</v>
      </c>
      <c r="D974" s="174">
        <v>44375</v>
      </c>
      <c r="E974" s="174"/>
      <c r="F974" s="174"/>
      <c r="G974" s="109"/>
      <c r="H974" s="174"/>
      <c r="I974" s="86" t="s">
        <v>2509</v>
      </c>
      <c r="J974" s="87">
        <v>874</v>
      </c>
      <c r="K974" s="24" t="s">
        <v>117</v>
      </c>
      <c r="L974" s="106"/>
      <c r="M974" s="105" t="s">
        <v>2510</v>
      </c>
      <c r="N974" s="106">
        <v>1</v>
      </c>
      <c r="O974" s="107"/>
      <c r="P974" s="27">
        <v>870.2</v>
      </c>
      <c r="Q974" s="28">
        <f>data[[#This Row],[Costo Producto
Proveedor ($/Unid)]]*data[[#This Row],[Cantidad]]</f>
        <v>0</v>
      </c>
      <c r="R974" s="28">
        <f>data[[#This Row],[Cantidad]]*data[[#This Row],[Precio de Venta Cliente ($/Unid)]]</f>
        <v>870.2</v>
      </c>
      <c r="S974" s="29"/>
      <c r="T974" s="106" t="s">
        <v>16</v>
      </c>
      <c r="U974" s="106"/>
      <c r="V974" s="30" t="s">
        <v>46</v>
      </c>
      <c r="W974" s="174" t="s">
        <v>46</v>
      </c>
      <c r="X974" s="106" t="s">
        <v>503</v>
      </c>
      <c r="Y974" s="106" t="s">
        <v>503</v>
      </c>
      <c r="Z974" s="106" t="s">
        <v>50</v>
      </c>
      <c r="AA974" s="5"/>
    </row>
    <row r="975" spans="2:27" s="105" customFormat="1" ht="15.75" x14ac:dyDescent="0.25">
      <c r="B975" s="174"/>
      <c r="C975" s="174" t="str">
        <f>TEXT(data[[#This Row],[Fecha de Envío
Cotización]],"MMMM")</f>
        <v>junio</v>
      </c>
      <c r="D975" s="174">
        <v>44375</v>
      </c>
      <c r="E975" s="174"/>
      <c r="F975" s="174"/>
      <c r="G975" s="109"/>
      <c r="H975" s="174"/>
      <c r="I975" s="86">
        <v>164032</v>
      </c>
      <c r="J975" s="87">
        <v>876</v>
      </c>
      <c r="K975" s="24" t="s">
        <v>1109</v>
      </c>
      <c r="L975" s="106"/>
      <c r="M975" s="105" t="s">
        <v>2513</v>
      </c>
      <c r="N975" s="106">
        <v>1</v>
      </c>
      <c r="O975" s="107"/>
      <c r="P975" s="27">
        <v>877.9</v>
      </c>
      <c r="Q975" s="28">
        <f>data[[#This Row],[Costo Producto
Proveedor ($/Unid)]]*data[[#This Row],[Cantidad]]</f>
        <v>0</v>
      </c>
      <c r="R975" s="28">
        <f>data[[#This Row],[Cantidad]]*data[[#This Row],[Precio de Venta Cliente ($/Unid)]]</f>
        <v>877.9</v>
      </c>
      <c r="S975" s="29"/>
      <c r="T975" s="106" t="s">
        <v>36</v>
      </c>
      <c r="U975" s="106"/>
      <c r="V975" s="30" t="s">
        <v>46</v>
      </c>
      <c r="W975" s="174" t="s">
        <v>46</v>
      </c>
      <c r="X975" s="106" t="s">
        <v>503</v>
      </c>
      <c r="Y975" s="106" t="s">
        <v>503</v>
      </c>
      <c r="Z975" s="106" t="s">
        <v>50</v>
      </c>
      <c r="AA975" s="5"/>
    </row>
    <row r="976" spans="2:27" s="105" customFormat="1" ht="15.75" x14ac:dyDescent="0.25">
      <c r="B976" s="174"/>
      <c r="C976" s="174" t="str">
        <f>TEXT(data[[#This Row],[Fecha de Envío
Cotización]],"MMMM")</f>
        <v>junio</v>
      </c>
      <c r="D976" s="174">
        <v>44377</v>
      </c>
      <c r="E976" s="174"/>
      <c r="F976" s="174"/>
      <c r="G976" s="109"/>
      <c r="H976" s="174"/>
      <c r="I976" s="86">
        <v>12190145942</v>
      </c>
      <c r="J976" s="87">
        <v>893</v>
      </c>
      <c r="K976" s="24" t="s">
        <v>283</v>
      </c>
      <c r="L976" s="106"/>
      <c r="M976" s="105" t="s">
        <v>2566</v>
      </c>
      <c r="N976" s="106">
        <v>416</v>
      </c>
      <c r="O976" s="107"/>
      <c r="P976" s="27">
        <v>8.11</v>
      </c>
      <c r="Q976" s="28">
        <f>data[[#This Row],[Costo Producto
Proveedor ($/Unid)]]*data[[#This Row],[Cantidad]]</f>
        <v>0</v>
      </c>
      <c r="R976" s="28">
        <f>data[[#This Row],[Cantidad]]*data[[#This Row],[Precio de Venta Cliente ($/Unid)]]</f>
        <v>3373.7599999999998</v>
      </c>
      <c r="S976" s="29"/>
      <c r="T976" s="106" t="s">
        <v>73</v>
      </c>
      <c r="U976" s="106"/>
      <c r="V976" s="30" t="s">
        <v>46</v>
      </c>
      <c r="W976" s="174" t="s">
        <v>46</v>
      </c>
      <c r="X976" s="106" t="s">
        <v>503</v>
      </c>
      <c r="Y976" s="106" t="s">
        <v>503</v>
      </c>
      <c r="Z976" s="106" t="s">
        <v>50</v>
      </c>
      <c r="AA976" s="5"/>
    </row>
    <row r="977" spans="2:27" s="105" customFormat="1" ht="15.75" x14ac:dyDescent="0.25">
      <c r="B977" s="174"/>
      <c r="C977" s="174" t="str">
        <f>TEXT(data[[#This Row],[Fecha de Envío
Cotización]],"MMMM")</f>
        <v>junio</v>
      </c>
      <c r="D977" s="174">
        <v>44377</v>
      </c>
      <c r="E977" s="174"/>
      <c r="F977" s="174"/>
      <c r="G977" s="109"/>
      <c r="H977" s="174"/>
      <c r="I977" s="86" t="s">
        <v>2568</v>
      </c>
      <c r="J977" s="87">
        <v>897</v>
      </c>
      <c r="K977" s="24" t="s">
        <v>283</v>
      </c>
      <c r="L977" s="106"/>
      <c r="M977" s="105" t="s">
        <v>2570</v>
      </c>
      <c r="N977" s="106">
        <v>10</v>
      </c>
      <c r="O977" s="107"/>
      <c r="P977" s="27">
        <v>78.14</v>
      </c>
      <c r="Q977" s="28">
        <f>data[[#This Row],[Costo Producto
Proveedor ($/Unid)]]*data[[#This Row],[Cantidad]]</f>
        <v>0</v>
      </c>
      <c r="R977" s="28">
        <f>data[[#This Row],[Cantidad]]*data[[#This Row],[Precio de Venta Cliente ($/Unid)]]</f>
        <v>781.4</v>
      </c>
      <c r="S977" s="29"/>
      <c r="T977" s="106" t="s">
        <v>36</v>
      </c>
      <c r="U977" s="106"/>
      <c r="V977" s="30" t="s">
        <v>46</v>
      </c>
      <c r="W977" s="174" t="s">
        <v>46</v>
      </c>
      <c r="X977" s="106" t="s">
        <v>503</v>
      </c>
      <c r="Y977" s="106" t="s">
        <v>503</v>
      </c>
      <c r="Z977" s="106" t="s">
        <v>50</v>
      </c>
      <c r="AA977" s="5"/>
    </row>
    <row r="978" spans="2:27" s="105" customFormat="1" ht="15.75" x14ac:dyDescent="0.25">
      <c r="B978" s="174"/>
      <c r="C978" s="174" t="str">
        <f>TEXT(data[[#This Row],[Fecha de Envío
Cotización]],"MMMM")</f>
        <v>junio</v>
      </c>
      <c r="D978" s="174">
        <v>44377</v>
      </c>
      <c r="E978" s="174"/>
      <c r="F978" s="174"/>
      <c r="G978" s="109"/>
      <c r="H978" s="174"/>
      <c r="I978" s="86" t="s">
        <v>2569</v>
      </c>
      <c r="J978" s="87">
        <v>897</v>
      </c>
      <c r="K978" s="24" t="s">
        <v>283</v>
      </c>
      <c r="L978" s="106"/>
      <c r="M978" s="105" t="s">
        <v>2571</v>
      </c>
      <c r="N978" s="106">
        <v>10</v>
      </c>
      <c r="O978" s="107"/>
      <c r="P978" s="27">
        <v>78.14</v>
      </c>
      <c r="Q978" s="28">
        <f>data[[#This Row],[Costo Producto
Proveedor ($/Unid)]]*data[[#This Row],[Cantidad]]</f>
        <v>0</v>
      </c>
      <c r="R978" s="28">
        <f>data[[#This Row],[Cantidad]]*data[[#This Row],[Precio de Venta Cliente ($/Unid)]]</f>
        <v>781.4</v>
      </c>
      <c r="S978" s="29"/>
      <c r="T978" s="106" t="s">
        <v>36</v>
      </c>
      <c r="U978" s="106"/>
      <c r="V978" s="30" t="s">
        <v>46</v>
      </c>
      <c r="W978" s="174" t="s">
        <v>46</v>
      </c>
      <c r="X978" s="106" t="s">
        <v>503</v>
      </c>
      <c r="Y978" s="106" t="s">
        <v>503</v>
      </c>
      <c r="Z978" s="106" t="s">
        <v>50</v>
      </c>
      <c r="AA978" s="5"/>
    </row>
    <row r="979" spans="2:27" s="105" customFormat="1" ht="15.75" x14ac:dyDescent="0.25">
      <c r="B979" s="174"/>
      <c r="C979" s="174" t="str">
        <f>TEXT(data[[#This Row],[Fecha de Envío
Cotización]],"MMMM")</f>
        <v>junio</v>
      </c>
      <c r="D979" s="174">
        <v>44377</v>
      </c>
      <c r="E979" s="174"/>
      <c r="F979" s="174"/>
      <c r="G979" s="109"/>
      <c r="H979" s="174"/>
      <c r="I979" s="86">
        <v>925005</v>
      </c>
      <c r="J979" s="87">
        <v>897</v>
      </c>
      <c r="K979" s="24" t="s">
        <v>283</v>
      </c>
      <c r="L979" s="106"/>
      <c r="M979" s="105" t="s">
        <v>2572</v>
      </c>
      <c r="N979" s="106">
        <v>10</v>
      </c>
      <c r="O979" s="107"/>
      <c r="P979" s="27">
        <v>146.78</v>
      </c>
      <c r="Q979" s="28">
        <f>data[[#This Row],[Costo Producto
Proveedor ($/Unid)]]*data[[#This Row],[Cantidad]]</f>
        <v>0</v>
      </c>
      <c r="R979" s="28">
        <f>data[[#This Row],[Cantidad]]*data[[#This Row],[Precio de Venta Cliente ($/Unid)]]</f>
        <v>1467.8</v>
      </c>
      <c r="S979" s="29"/>
      <c r="T979" s="106" t="s">
        <v>36</v>
      </c>
      <c r="U979" s="106"/>
      <c r="V979" s="30" t="s">
        <v>46</v>
      </c>
      <c r="W979" s="174" t="s">
        <v>46</v>
      </c>
      <c r="X979" s="106" t="s">
        <v>503</v>
      </c>
      <c r="Y979" s="106" t="s">
        <v>503</v>
      </c>
      <c r="Z979" s="106" t="s">
        <v>50</v>
      </c>
      <c r="AA979" s="5"/>
    </row>
    <row r="980" spans="2:27" s="105" customFormat="1" ht="15.75" x14ac:dyDescent="0.25">
      <c r="B980" s="174"/>
      <c r="C980" s="174" t="str">
        <f>TEXT(data[[#This Row],[Fecha de Envío
Cotización]],"MMMM")</f>
        <v>junio</v>
      </c>
      <c r="D980" s="174">
        <v>44377</v>
      </c>
      <c r="E980" s="174"/>
      <c r="F980" s="174"/>
      <c r="G980" s="109"/>
      <c r="H980" s="174"/>
      <c r="I980" s="86" t="s">
        <v>2078</v>
      </c>
      <c r="J980" s="87">
        <v>897</v>
      </c>
      <c r="K980" s="24" t="s">
        <v>283</v>
      </c>
      <c r="L980" s="106"/>
      <c r="M980" s="105" t="s">
        <v>2085</v>
      </c>
      <c r="N980" s="106">
        <v>10</v>
      </c>
      <c r="O980" s="107"/>
      <c r="P980" s="27">
        <v>89.88</v>
      </c>
      <c r="Q980" s="28">
        <f>data[[#This Row],[Costo Producto
Proveedor ($/Unid)]]*data[[#This Row],[Cantidad]]</f>
        <v>0</v>
      </c>
      <c r="R980" s="28">
        <f>data[[#This Row],[Cantidad]]*data[[#This Row],[Precio de Venta Cliente ($/Unid)]]</f>
        <v>898.8</v>
      </c>
      <c r="S980" s="29"/>
      <c r="T980" s="106" t="s">
        <v>36</v>
      </c>
      <c r="U980" s="106"/>
      <c r="V980" s="30" t="s">
        <v>46</v>
      </c>
      <c r="W980" s="174" t="s">
        <v>46</v>
      </c>
      <c r="X980" s="106" t="s">
        <v>503</v>
      </c>
      <c r="Y980" s="106" t="s">
        <v>503</v>
      </c>
      <c r="Z980" s="106" t="s">
        <v>50</v>
      </c>
      <c r="AA980" s="5"/>
    </row>
    <row r="981" spans="2:27" x14ac:dyDescent="0.25">
      <c r="B981" s="174"/>
      <c r="C981" s="174" t="str">
        <f>TEXT(data[[#This Row],[Fecha de Envío
Cotización]],"MMMM")</f>
        <v>febrero</v>
      </c>
      <c r="D981" s="174">
        <v>44244</v>
      </c>
      <c r="E981" s="174" t="str">
        <f>IF(data[[#This Row],[Estatus de 
Cotización]]="PERDIDO","N/A","")</f>
        <v>N/A</v>
      </c>
      <c r="F981" s="174"/>
      <c r="G981" s="109"/>
      <c r="H981" s="174"/>
      <c r="I981" s="86">
        <v>511464</v>
      </c>
      <c r="J981" s="89">
        <v>20069</v>
      </c>
      <c r="K981" s="24" t="s">
        <v>1112</v>
      </c>
      <c r="L981" s="106"/>
      <c r="M981" s="105" t="s">
        <v>1111</v>
      </c>
      <c r="N981" s="22">
        <v>25</v>
      </c>
      <c r="O981" s="26"/>
      <c r="P981" s="107">
        <v>123.5</v>
      </c>
      <c r="Q981" s="28">
        <f>data[[#This Row],[Costo Producto
Proveedor ($/Unid)]]*data[[#This Row],[Cantidad]]</f>
        <v>0</v>
      </c>
      <c r="R981" s="28">
        <f>data[[#This Row],[Cantidad]]*data[[#This Row],[Precio de Venta Cliente ($/Unid)]]</f>
        <v>3087.5</v>
      </c>
      <c r="S981" s="29"/>
      <c r="T981" s="106" t="s">
        <v>22</v>
      </c>
      <c r="U981" s="106"/>
      <c r="V981" s="30" t="s">
        <v>42</v>
      </c>
      <c r="W981" s="32" t="s">
        <v>42</v>
      </c>
      <c r="X981" s="106" t="s">
        <v>23</v>
      </c>
      <c r="Y981" s="106" t="s">
        <v>23</v>
      </c>
      <c r="Z981" s="22" t="s">
        <v>12</v>
      </c>
      <c r="AA981" s="106"/>
    </row>
    <row r="982" spans="2:27" x14ac:dyDescent="0.25">
      <c r="B982" s="174"/>
      <c r="C982" s="174" t="str">
        <f>TEXT(data[[#This Row],[Fecha de Envío
Cotización]],"MMMM")</f>
        <v>febrero</v>
      </c>
      <c r="D982" s="174">
        <v>44245</v>
      </c>
      <c r="E982" s="174" t="str">
        <f>IF(data[[#This Row],[Estatus de 
Cotización]]="PERDIDO","N/A","")</f>
        <v>N/A</v>
      </c>
      <c r="F982" s="174"/>
      <c r="G982" s="109"/>
      <c r="H982" s="174"/>
      <c r="I982" s="86">
        <v>511468</v>
      </c>
      <c r="J982" s="89">
        <v>20010</v>
      </c>
      <c r="K982" s="24" t="s">
        <v>1114</v>
      </c>
      <c r="L982" s="106"/>
      <c r="M982" s="105" t="s">
        <v>1113</v>
      </c>
      <c r="N982" s="22">
        <v>4</v>
      </c>
      <c r="O982" s="26"/>
      <c r="P982" s="107">
        <v>195</v>
      </c>
      <c r="Q982" s="28">
        <f>data[[#This Row],[Costo Producto
Proveedor ($/Unid)]]*data[[#This Row],[Cantidad]]</f>
        <v>0</v>
      </c>
      <c r="R982" s="28">
        <f>data[[#This Row],[Cantidad]]*data[[#This Row],[Precio de Venta Cliente ($/Unid)]]</f>
        <v>780</v>
      </c>
      <c r="S982" s="29"/>
      <c r="T982" s="106" t="s">
        <v>22</v>
      </c>
      <c r="U982" s="106"/>
      <c r="V982" s="30" t="s">
        <v>42</v>
      </c>
      <c r="W982" s="32" t="s">
        <v>42</v>
      </c>
      <c r="X982" s="106" t="s">
        <v>23</v>
      </c>
      <c r="Y982" s="106" t="s">
        <v>23</v>
      </c>
      <c r="Z982" s="22" t="s">
        <v>12</v>
      </c>
      <c r="AA982" s="106"/>
    </row>
    <row r="983" spans="2:27" x14ac:dyDescent="0.25">
      <c r="B983" s="174"/>
      <c r="C983" s="174" t="str">
        <f>TEXT(data[[#This Row],[Fecha de Envío
Cotización]],"MMMM")</f>
        <v>marzo</v>
      </c>
      <c r="D983" s="174">
        <v>44256</v>
      </c>
      <c r="E983" s="174">
        <v>44258</v>
      </c>
      <c r="F983" s="174">
        <v>44294</v>
      </c>
      <c r="G983" s="109"/>
      <c r="H983" s="174"/>
      <c r="I983" s="86">
        <v>511498</v>
      </c>
      <c r="J983" s="87">
        <v>20019</v>
      </c>
      <c r="K983" s="110" t="s">
        <v>14</v>
      </c>
      <c r="L983" s="106" t="s">
        <v>18</v>
      </c>
      <c r="M983" s="105" t="s">
        <v>778</v>
      </c>
      <c r="N983" s="106">
        <v>1</v>
      </c>
      <c r="O983" s="107">
        <v>868.64</v>
      </c>
      <c r="P983" s="27">
        <v>1512</v>
      </c>
      <c r="Q983" s="28">
        <f>data[[#This Row],[Costo Producto
Proveedor ($/Unid)]]*data[[#This Row],[Cantidad]]</f>
        <v>868.64</v>
      </c>
      <c r="R983" s="121">
        <f>data[[#This Row],[Cantidad]]*data[[#This Row],[Precio de Venta Cliente ($/Unid)]]</f>
        <v>1512</v>
      </c>
      <c r="S983" s="29"/>
      <c r="T983" s="106" t="s">
        <v>15</v>
      </c>
      <c r="U983" s="106" t="s">
        <v>21</v>
      </c>
      <c r="V983" s="106" t="s">
        <v>44</v>
      </c>
      <c r="W983" s="174" t="s">
        <v>44</v>
      </c>
      <c r="X983" s="106" t="s">
        <v>45</v>
      </c>
      <c r="Y983" s="106" t="s">
        <v>47</v>
      </c>
      <c r="Z983" s="106" t="s">
        <v>12</v>
      </c>
      <c r="AA983" s="106"/>
    </row>
    <row r="984" spans="2:27" x14ac:dyDescent="0.25">
      <c r="B984" s="174"/>
      <c r="C984" s="174" t="str">
        <f>TEXT(data[[#This Row],[Fecha de Envío
Cotización]],"MMMM")</f>
        <v>marzo</v>
      </c>
      <c r="D984" s="174">
        <v>44258</v>
      </c>
      <c r="E984" s="174">
        <v>44259</v>
      </c>
      <c r="F984" s="174">
        <v>44267</v>
      </c>
      <c r="G984" s="109"/>
      <c r="H984" s="174"/>
      <c r="I984" s="86">
        <v>511519</v>
      </c>
      <c r="J984" s="87">
        <v>20020</v>
      </c>
      <c r="K984" s="110" t="s">
        <v>14</v>
      </c>
      <c r="L984" s="106" t="s">
        <v>19</v>
      </c>
      <c r="M984" s="105" t="s">
        <v>784</v>
      </c>
      <c r="N984" s="106">
        <v>4</v>
      </c>
      <c r="O984" s="107">
        <v>45</v>
      </c>
      <c r="P984" s="27">
        <v>65</v>
      </c>
      <c r="Q984" s="28">
        <f>data[[#This Row],[Costo Producto
Proveedor ($/Unid)]]*data[[#This Row],[Cantidad]]</f>
        <v>180</v>
      </c>
      <c r="R984" s="120">
        <f>data[[#This Row],[Cantidad]]*data[[#This Row],[Precio de Venta Cliente ($/Unid)]]</f>
        <v>260</v>
      </c>
      <c r="S984" s="29"/>
      <c r="T984" s="106" t="s">
        <v>22</v>
      </c>
      <c r="U984" s="106" t="s">
        <v>22</v>
      </c>
      <c r="V984" s="106" t="s">
        <v>44</v>
      </c>
      <c r="W984" s="174" t="s">
        <v>44</v>
      </c>
      <c r="X984" s="106" t="s">
        <v>45</v>
      </c>
      <c r="Y984" s="106" t="s">
        <v>47</v>
      </c>
      <c r="Z984" s="106" t="s">
        <v>12</v>
      </c>
      <c r="AA984" s="106"/>
    </row>
    <row r="985" spans="2:27" x14ac:dyDescent="0.25">
      <c r="B985" s="174"/>
      <c r="C985" s="174" t="str">
        <f>TEXT(data[[#This Row],[Fecha de Envío
Cotización]],"MMMM")</f>
        <v>marzo</v>
      </c>
      <c r="D985" s="174">
        <v>44258</v>
      </c>
      <c r="E985" s="174" t="str">
        <f>IF(data[[#This Row],[Estatus de 
Cotización]]="PERDIDO","N/A","")</f>
        <v>N/A</v>
      </c>
      <c r="F985" s="174"/>
      <c r="G985" s="109"/>
      <c r="H985" s="174"/>
      <c r="I985" s="86">
        <v>511516</v>
      </c>
      <c r="J985" s="87">
        <v>20021</v>
      </c>
      <c r="K985" s="110" t="s">
        <v>13</v>
      </c>
      <c r="L985" s="106" t="s">
        <v>20</v>
      </c>
      <c r="M985" s="105" t="s">
        <v>779</v>
      </c>
      <c r="N985" s="106">
        <v>1</v>
      </c>
      <c r="O985" s="107">
        <v>1221</v>
      </c>
      <c r="P985" s="27">
        <v>1770</v>
      </c>
      <c r="Q985" s="28">
        <v>1221</v>
      </c>
      <c r="R985" s="28">
        <f>data[[#This Row],[Cantidad]]*data[[#This Row],[Precio de Venta Cliente ($/Unid)]]</f>
        <v>1770</v>
      </c>
      <c r="S985" s="29"/>
      <c r="T985" s="106" t="s">
        <v>16</v>
      </c>
      <c r="U985" s="106" t="s">
        <v>24</v>
      </c>
      <c r="V985" s="174" t="s">
        <v>42</v>
      </c>
      <c r="W985" s="174" t="s">
        <v>42</v>
      </c>
      <c r="X985" s="106" t="s">
        <v>23</v>
      </c>
      <c r="Y985" s="106" t="s">
        <v>23</v>
      </c>
      <c r="Z985" s="106" t="s">
        <v>12</v>
      </c>
      <c r="AA985" s="106" t="s">
        <v>48</v>
      </c>
    </row>
    <row r="986" spans="2:27" x14ac:dyDescent="0.25">
      <c r="B986" s="174"/>
      <c r="C986" s="174" t="str">
        <f>TEXT(data[[#This Row],[Fecha de Envío
Cotización]],"MMMM")</f>
        <v>marzo</v>
      </c>
      <c r="D986" s="174">
        <v>44258</v>
      </c>
      <c r="E986" s="174" t="str">
        <f>IF(data[[#This Row],[Estatus de 
Cotización]]="PERDIDO","N/A","")</f>
        <v>N/A</v>
      </c>
      <c r="F986" s="174"/>
      <c r="G986" s="109"/>
      <c r="H986" s="174"/>
      <c r="I986" s="86">
        <v>511517</v>
      </c>
      <c r="J986" s="87">
        <v>20020</v>
      </c>
      <c r="K986" s="110" t="s">
        <v>14</v>
      </c>
      <c r="L986" s="106" t="s">
        <v>20</v>
      </c>
      <c r="M986" s="105" t="s">
        <v>780</v>
      </c>
      <c r="N986" s="106">
        <v>6</v>
      </c>
      <c r="O986" s="107">
        <v>300</v>
      </c>
      <c r="P986" s="27">
        <v>475</v>
      </c>
      <c r="Q986" s="28">
        <f>data[[#This Row],[Costo Producto
Proveedor ($/Unid)]]*data[[#This Row],[Cantidad]]</f>
        <v>1800</v>
      </c>
      <c r="R986" s="28">
        <f>data[[#This Row],[Cantidad]]*data[[#This Row],[Precio de Venta Cliente ($/Unid)]]</f>
        <v>2850</v>
      </c>
      <c r="S986" s="29"/>
      <c r="T986" s="106" t="s">
        <v>15</v>
      </c>
      <c r="U986" s="106" t="s">
        <v>781</v>
      </c>
      <c r="V986" s="174" t="s">
        <v>42</v>
      </c>
      <c r="W986" s="174" t="s">
        <v>42</v>
      </c>
      <c r="X986" s="106" t="s">
        <v>23</v>
      </c>
      <c r="Y986" s="106" t="s">
        <v>23</v>
      </c>
      <c r="Z986" s="106" t="s">
        <v>12</v>
      </c>
      <c r="AA986" s="106" t="s">
        <v>43</v>
      </c>
    </row>
    <row r="987" spans="2:27" x14ac:dyDescent="0.25">
      <c r="B987" s="174"/>
      <c r="C987" s="174" t="str">
        <f>TEXT(data[[#This Row],[Fecha de Envío
Cotización]],"MMMM")</f>
        <v>marzo</v>
      </c>
      <c r="D987" s="174">
        <v>44258</v>
      </c>
      <c r="E987" s="174" t="str">
        <f>IF(data[[#This Row],[Estatus de 
Cotización]]="PERDIDO","N/A","")</f>
        <v>N/A</v>
      </c>
      <c r="F987" s="174"/>
      <c r="G987" s="109"/>
      <c r="H987" s="174"/>
      <c r="I987" s="86">
        <v>511518</v>
      </c>
      <c r="J987" s="87">
        <v>20020</v>
      </c>
      <c r="K987" s="110" t="s">
        <v>14</v>
      </c>
      <c r="L987" s="106" t="s">
        <v>20</v>
      </c>
      <c r="M987" s="105" t="s">
        <v>782</v>
      </c>
      <c r="N987" s="106">
        <v>2</v>
      </c>
      <c r="O987" s="107">
        <v>55</v>
      </c>
      <c r="P987" s="27">
        <v>80</v>
      </c>
      <c r="Q987" s="28">
        <f>data[[#This Row],[Costo Producto
Proveedor ($/Unid)]]*data[[#This Row],[Cantidad]]</f>
        <v>110</v>
      </c>
      <c r="R987" s="28">
        <f>data[[#This Row],[Cantidad]]*data[[#This Row],[Precio de Venta Cliente ($/Unid)]]</f>
        <v>160</v>
      </c>
      <c r="S987" s="29"/>
      <c r="T987" s="106" t="s">
        <v>15</v>
      </c>
      <c r="U987" s="106" t="s">
        <v>783</v>
      </c>
      <c r="V987" s="174" t="s">
        <v>42</v>
      </c>
      <c r="W987" s="174" t="s">
        <v>42</v>
      </c>
      <c r="X987" s="106" t="s">
        <v>23</v>
      </c>
      <c r="Y987" s="106" t="s">
        <v>23</v>
      </c>
      <c r="Z987" s="106" t="s">
        <v>12</v>
      </c>
      <c r="AA987" s="106" t="s">
        <v>43</v>
      </c>
    </row>
    <row r="988" spans="2:27" x14ac:dyDescent="0.25">
      <c r="B988" s="174"/>
      <c r="C988" s="174" t="str">
        <f>TEXT(data[[#This Row],[Fecha de Envío
Cotización]],"MMMM")</f>
        <v>marzo</v>
      </c>
      <c r="D988" s="174">
        <v>44258</v>
      </c>
      <c r="E988" s="174" t="str">
        <f>IF(data[[#This Row],[Estatus de 
Cotización]]="PERDIDO","N/A","")</f>
        <v>N/A</v>
      </c>
      <c r="F988" s="174"/>
      <c r="G988" s="109"/>
      <c r="H988" s="174"/>
      <c r="I988" s="86">
        <v>511520</v>
      </c>
      <c r="J988" s="87">
        <v>20020</v>
      </c>
      <c r="K988" s="110" t="s">
        <v>14</v>
      </c>
      <c r="L988" s="106" t="s">
        <v>19</v>
      </c>
      <c r="M988" s="105" t="s">
        <v>785</v>
      </c>
      <c r="N988" s="106">
        <v>6</v>
      </c>
      <c r="O988" s="107">
        <v>50</v>
      </c>
      <c r="P988" s="27">
        <v>75</v>
      </c>
      <c r="Q988" s="28">
        <f>data[[#This Row],[Costo Producto
Proveedor ($/Unid)]]*data[[#This Row],[Cantidad]]</f>
        <v>300</v>
      </c>
      <c r="R988" s="28">
        <f>data[[#This Row],[Cantidad]]*data[[#This Row],[Precio de Venta Cliente ($/Unid)]]</f>
        <v>450</v>
      </c>
      <c r="S988" s="29"/>
      <c r="T988" s="106" t="s">
        <v>22</v>
      </c>
      <c r="U988" s="106" t="s">
        <v>22</v>
      </c>
      <c r="V988" s="174" t="s">
        <v>42</v>
      </c>
      <c r="W988" s="106" t="s">
        <v>42</v>
      </c>
      <c r="X988" s="106" t="s">
        <v>23</v>
      </c>
      <c r="Y988" s="106" t="s">
        <v>23</v>
      </c>
      <c r="Z988" s="106" t="s">
        <v>12</v>
      </c>
      <c r="AA988" s="106" t="s">
        <v>43</v>
      </c>
    </row>
    <row r="989" spans="2:27" x14ac:dyDescent="0.25">
      <c r="B989" s="174"/>
      <c r="C989" s="174" t="str">
        <f>TEXT(data[[#This Row],[Fecha de Envío
Cotización]],"MMMM")</f>
        <v>marzo</v>
      </c>
      <c r="D989" s="174">
        <v>44258</v>
      </c>
      <c r="E989" s="174" t="str">
        <f>IF(data[[#This Row],[Estatus de 
Cotización]]="PERDIDO","N/A","")</f>
        <v>N/A</v>
      </c>
      <c r="F989" s="174"/>
      <c r="G989" s="109"/>
      <c r="H989" s="174"/>
      <c r="I989" s="86">
        <v>511521</v>
      </c>
      <c r="J989" s="87">
        <v>20020</v>
      </c>
      <c r="K989" s="110" t="s">
        <v>14</v>
      </c>
      <c r="L989" s="106" t="s">
        <v>19</v>
      </c>
      <c r="M989" s="105" t="s">
        <v>786</v>
      </c>
      <c r="N989" s="106">
        <v>4</v>
      </c>
      <c r="O989" s="107">
        <v>6</v>
      </c>
      <c r="P989" s="27">
        <v>15</v>
      </c>
      <c r="Q989" s="28">
        <f>data[[#This Row],[Costo Producto
Proveedor ($/Unid)]]*data[[#This Row],[Cantidad]]</f>
        <v>24</v>
      </c>
      <c r="R989" s="28">
        <f>data[[#This Row],[Cantidad]]*data[[#This Row],[Precio de Venta Cliente ($/Unid)]]</f>
        <v>60</v>
      </c>
      <c r="S989" s="29"/>
      <c r="T989" s="106" t="s">
        <v>22</v>
      </c>
      <c r="U989" s="106" t="s">
        <v>22</v>
      </c>
      <c r="V989" s="174" t="s">
        <v>42</v>
      </c>
      <c r="W989" s="106" t="s">
        <v>42</v>
      </c>
      <c r="X989" s="106" t="s">
        <v>23</v>
      </c>
      <c r="Y989" s="106" t="s">
        <v>23</v>
      </c>
      <c r="Z989" s="106" t="s">
        <v>12</v>
      </c>
      <c r="AA989" s="106" t="s">
        <v>43</v>
      </c>
    </row>
    <row r="990" spans="2:27" x14ac:dyDescent="0.25">
      <c r="B990" s="174"/>
      <c r="C990" s="174" t="str">
        <f>TEXT(data[[#This Row],[Fecha de Envío
Cotización]],"MMMM")</f>
        <v>marzo</v>
      </c>
      <c r="D990" s="174">
        <v>44260</v>
      </c>
      <c r="E990" s="174" t="str">
        <f>IF(data[[#This Row],[Estatus de 
Cotización]]="PERDIDO","N/A","")</f>
        <v>N/A</v>
      </c>
      <c r="F990" s="174"/>
      <c r="G990" s="109"/>
      <c r="H990" s="174"/>
      <c r="I990" s="86">
        <v>511532</v>
      </c>
      <c r="J990" s="89">
        <v>20022</v>
      </c>
      <c r="K990" s="24" t="s">
        <v>58</v>
      </c>
      <c r="L990" s="106"/>
      <c r="M990" s="105" t="s">
        <v>1115</v>
      </c>
      <c r="N990" s="106">
        <v>50</v>
      </c>
      <c r="O990" s="107"/>
      <c r="P990" s="107">
        <v>3.8</v>
      </c>
      <c r="Q990" s="28">
        <f>data[[#This Row],[Costo Producto
Proveedor ($/Unid)]]*data[[#This Row],[Cantidad]]</f>
        <v>0</v>
      </c>
      <c r="R990" s="28">
        <f>data[[#This Row],[Cantidad]]*data[[#This Row],[Precio de Venta Cliente ($/Unid)]]</f>
        <v>190</v>
      </c>
      <c r="S990" s="29"/>
      <c r="T990" s="106" t="s">
        <v>119</v>
      </c>
      <c r="U990" s="106"/>
      <c r="V990" s="30" t="s">
        <v>42</v>
      </c>
      <c r="W990" s="32" t="s">
        <v>42</v>
      </c>
      <c r="X990" s="106" t="s">
        <v>23</v>
      </c>
      <c r="Y990" s="106" t="s">
        <v>23</v>
      </c>
      <c r="Z990" s="106" t="s">
        <v>12</v>
      </c>
      <c r="AA990" s="106"/>
    </row>
    <row r="991" spans="2:27" x14ac:dyDescent="0.25">
      <c r="B991" s="174"/>
      <c r="C991" s="174" t="str">
        <f>TEXT(data[[#This Row],[Fecha de Envío
Cotización]],"MMMM")</f>
        <v>marzo</v>
      </c>
      <c r="D991" s="174">
        <v>44260</v>
      </c>
      <c r="E991" s="174" t="str">
        <f>IF(data[[#This Row],[Estatus de 
Cotización]]="PERDIDO","N/A","")</f>
        <v>N/A</v>
      </c>
      <c r="F991" s="174"/>
      <c r="G991" s="109"/>
      <c r="H991" s="174"/>
      <c r="I991" s="86">
        <v>511533</v>
      </c>
      <c r="J991" s="89">
        <v>20022</v>
      </c>
      <c r="K991" s="24" t="s">
        <v>58</v>
      </c>
      <c r="L991" s="106"/>
      <c r="M991" s="105" t="s">
        <v>1116</v>
      </c>
      <c r="N991" s="106">
        <v>50</v>
      </c>
      <c r="O991" s="107"/>
      <c r="P991" s="107">
        <v>5.9</v>
      </c>
      <c r="Q991" s="28">
        <f>data[[#This Row],[Costo Producto
Proveedor ($/Unid)]]*data[[#This Row],[Cantidad]]</f>
        <v>0</v>
      </c>
      <c r="R991" s="28">
        <f>data[[#This Row],[Cantidad]]*data[[#This Row],[Precio de Venta Cliente ($/Unid)]]</f>
        <v>295</v>
      </c>
      <c r="S991" s="29"/>
      <c r="T991" s="106" t="s">
        <v>22</v>
      </c>
      <c r="U991" s="106"/>
      <c r="V991" s="30" t="s">
        <v>42</v>
      </c>
      <c r="W991" s="32" t="s">
        <v>42</v>
      </c>
      <c r="X991" s="106" t="s">
        <v>23</v>
      </c>
      <c r="Y991" s="106" t="s">
        <v>23</v>
      </c>
      <c r="Z991" s="106" t="s">
        <v>12</v>
      </c>
      <c r="AA991" s="106"/>
    </row>
    <row r="992" spans="2:27" x14ac:dyDescent="0.25">
      <c r="B992" s="174"/>
      <c r="C992" s="174" t="str">
        <f>TEXT(data[[#This Row],[Fecha de Envío
Cotización]],"MMMM")</f>
        <v>marzo</v>
      </c>
      <c r="D992" s="174">
        <v>44260</v>
      </c>
      <c r="E992" s="174" t="str">
        <f>IF(data[[#This Row],[Estatus de 
Cotización]]="PERDIDO","N/A","")</f>
        <v>N/A</v>
      </c>
      <c r="F992" s="174"/>
      <c r="G992" s="109"/>
      <c r="H992" s="174"/>
      <c r="I992" s="86">
        <v>511534</v>
      </c>
      <c r="J992" s="89">
        <v>20022</v>
      </c>
      <c r="K992" s="24" t="s">
        <v>58</v>
      </c>
      <c r="L992" s="106"/>
      <c r="M992" s="105" t="s">
        <v>1117</v>
      </c>
      <c r="N992" s="106">
        <v>50</v>
      </c>
      <c r="O992" s="107"/>
      <c r="P992" s="107">
        <v>5.2</v>
      </c>
      <c r="Q992" s="28">
        <f>data[[#This Row],[Costo Producto
Proveedor ($/Unid)]]*data[[#This Row],[Cantidad]]</f>
        <v>0</v>
      </c>
      <c r="R992" s="28">
        <f>data[[#This Row],[Cantidad]]*data[[#This Row],[Precio de Venta Cliente ($/Unid)]]</f>
        <v>260</v>
      </c>
      <c r="S992" s="29"/>
      <c r="T992" s="106" t="s">
        <v>22</v>
      </c>
      <c r="U992" s="106"/>
      <c r="V992" s="30" t="s">
        <v>42</v>
      </c>
      <c r="W992" s="32" t="s">
        <v>42</v>
      </c>
      <c r="X992" s="106" t="s">
        <v>23</v>
      </c>
      <c r="Y992" s="106" t="s">
        <v>23</v>
      </c>
      <c r="Z992" s="106" t="s">
        <v>12</v>
      </c>
      <c r="AA992" s="106"/>
    </row>
    <row r="993" spans="2:27" x14ac:dyDescent="0.25">
      <c r="B993" s="174"/>
      <c r="C993" s="174" t="str">
        <f>TEXT(data[[#This Row],[Fecha de Envío
Cotización]],"MMMM")</f>
        <v>marzo</v>
      </c>
      <c r="D993" s="174">
        <v>44260</v>
      </c>
      <c r="E993" s="174" t="str">
        <f>IF(data[[#This Row],[Estatus de 
Cotización]]="PERDIDO","N/A","")</f>
        <v>N/A</v>
      </c>
      <c r="F993" s="174"/>
      <c r="G993" s="109"/>
      <c r="H993" s="174"/>
      <c r="I993" s="86">
        <v>511535</v>
      </c>
      <c r="J993" s="89">
        <v>20023</v>
      </c>
      <c r="K993" s="24" t="s">
        <v>58</v>
      </c>
      <c r="L993" s="106"/>
      <c r="M993" s="105" t="s">
        <v>1118</v>
      </c>
      <c r="N993" s="106">
        <v>50</v>
      </c>
      <c r="O993" s="107"/>
      <c r="P993" s="107">
        <v>1.8</v>
      </c>
      <c r="Q993" s="28">
        <f>data[[#This Row],[Costo Producto
Proveedor ($/Unid)]]*data[[#This Row],[Cantidad]]</f>
        <v>0</v>
      </c>
      <c r="R993" s="28">
        <f>data[[#This Row],[Cantidad]]*data[[#This Row],[Precio de Venta Cliente ($/Unid)]]</f>
        <v>90</v>
      </c>
      <c r="S993" s="29"/>
      <c r="T993" s="106" t="s">
        <v>119</v>
      </c>
      <c r="U993" s="106"/>
      <c r="V993" s="30" t="s">
        <v>42</v>
      </c>
      <c r="W993" s="32" t="s">
        <v>42</v>
      </c>
      <c r="X993" s="106" t="s">
        <v>23</v>
      </c>
      <c r="Y993" s="106" t="s">
        <v>23</v>
      </c>
      <c r="Z993" s="106" t="s">
        <v>12</v>
      </c>
      <c r="AA993" s="106"/>
    </row>
    <row r="994" spans="2:27" x14ac:dyDescent="0.25">
      <c r="B994" s="174"/>
      <c r="C994" s="174" t="str">
        <f>TEXT(data[[#This Row],[Fecha de Envío
Cotización]],"MMMM")</f>
        <v>marzo</v>
      </c>
      <c r="D994" s="174">
        <v>44260</v>
      </c>
      <c r="E994" s="174" t="str">
        <f>IF(data[[#This Row],[Estatus de 
Cotización]]="PERDIDO","N/A","")</f>
        <v>N/A</v>
      </c>
      <c r="F994" s="174"/>
      <c r="G994" s="109"/>
      <c r="H994" s="174"/>
      <c r="I994" s="86">
        <v>511536</v>
      </c>
      <c r="J994" s="89">
        <v>20023</v>
      </c>
      <c r="K994" s="24" t="s">
        <v>58</v>
      </c>
      <c r="L994" s="106"/>
      <c r="M994" s="105" t="s">
        <v>1119</v>
      </c>
      <c r="N994" s="106">
        <v>50</v>
      </c>
      <c r="O994" s="107"/>
      <c r="P994" s="107">
        <v>1.7</v>
      </c>
      <c r="Q994" s="28">
        <f>data[[#This Row],[Costo Producto
Proveedor ($/Unid)]]*data[[#This Row],[Cantidad]]</f>
        <v>0</v>
      </c>
      <c r="R994" s="28">
        <f>data[[#This Row],[Cantidad]]*data[[#This Row],[Precio de Venta Cliente ($/Unid)]]</f>
        <v>85</v>
      </c>
      <c r="S994" s="29"/>
      <c r="T994" s="106" t="s">
        <v>22</v>
      </c>
      <c r="U994" s="106"/>
      <c r="V994" s="30" t="s">
        <v>42</v>
      </c>
      <c r="W994" s="32" t="s">
        <v>42</v>
      </c>
      <c r="X994" s="106" t="s">
        <v>23</v>
      </c>
      <c r="Y994" s="106" t="s">
        <v>23</v>
      </c>
      <c r="Z994" s="106" t="s">
        <v>12</v>
      </c>
      <c r="AA994" s="106"/>
    </row>
    <row r="995" spans="2:27" x14ac:dyDescent="0.25">
      <c r="B995" s="174"/>
      <c r="C995" s="174" t="str">
        <f>TEXT(data[[#This Row],[Fecha de Envío
Cotización]],"MMMM")</f>
        <v>marzo</v>
      </c>
      <c r="D995" s="174">
        <v>44263</v>
      </c>
      <c r="E995" s="174" t="str">
        <f>IF(data[[#This Row],[Estatus de 
Cotización]]="PERDIDO","N/A","")</f>
        <v>N/A</v>
      </c>
      <c r="F995" s="174"/>
      <c r="G995" s="109"/>
      <c r="H995" s="174"/>
      <c r="I995" s="86">
        <v>511550</v>
      </c>
      <c r="J995" s="87">
        <v>20025</v>
      </c>
      <c r="K995" s="24" t="s">
        <v>31</v>
      </c>
      <c r="L995" s="106"/>
      <c r="M995" s="108" t="s">
        <v>787</v>
      </c>
      <c r="N995" s="106">
        <v>1</v>
      </c>
      <c r="O995" s="107"/>
      <c r="P995" s="27">
        <v>365</v>
      </c>
      <c r="Q995" s="28">
        <f>data[[#This Row],[Costo Producto
Proveedor ($/Unid)]]*data[[#This Row],[Cantidad]]</f>
        <v>0</v>
      </c>
      <c r="R995" s="28">
        <f>data[[#This Row],[Cantidad]]*data[[#This Row],[Precio de Venta Cliente ($/Unid)]]</f>
        <v>365</v>
      </c>
      <c r="S995" s="29"/>
      <c r="T995" s="106" t="s">
        <v>15</v>
      </c>
      <c r="U995" s="106" t="s">
        <v>37</v>
      </c>
      <c r="V995" s="30" t="s">
        <v>42</v>
      </c>
      <c r="W995" s="174" t="s">
        <v>42</v>
      </c>
      <c r="X995" s="106" t="s">
        <v>23</v>
      </c>
      <c r="Y995" s="106" t="s">
        <v>23</v>
      </c>
      <c r="Z995" s="106" t="s">
        <v>12</v>
      </c>
      <c r="AA995" s="106" t="s">
        <v>43</v>
      </c>
    </row>
    <row r="996" spans="2:27" x14ac:dyDescent="0.25">
      <c r="B996" s="174"/>
      <c r="C996" s="174" t="str">
        <f>TEXT(data[[#This Row],[Fecha de Envío
Cotización]],"MMMM")</f>
        <v>marzo</v>
      </c>
      <c r="D996" s="174">
        <v>44264</v>
      </c>
      <c r="E996" s="174" t="str">
        <f>IF(data[[#This Row],[Estatus de 
Cotización]]="PERDIDO","N/A","")</f>
        <v>N/A</v>
      </c>
      <c r="F996" s="174"/>
      <c r="G996" s="109"/>
      <c r="H996" s="174"/>
      <c r="I996" s="86">
        <v>511553</v>
      </c>
      <c r="J996" s="87">
        <v>20028</v>
      </c>
      <c r="K996" s="24" t="s">
        <v>58</v>
      </c>
      <c r="L996" s="106"/>
      <c r="M996" s="108" t="s">
        <v>788</v>
      </c>
      <c r="N996" s="106">
        <v>100</v>
      </c>
      <c r="O996" s="107"/>
      <c r="P996" s="27">
        <v>72</v>
      </c>
      <c r="Q996" s="28">
        <f>data[[#This Row],[Costo Producto
Proveedor ($/Unid)]]*data[[#This Row],[Cantidad]]</f>
        <v>0</v>
      </c>
      <c r="R996" s="28">
        <f>data[[#This Row],[Cantidad]]*data[[#This Row],[Precio de Venta Cliente ($/Unid)]]</f>
        <v>7200</v>
      </c>
      <c r="S996" s="29"/>
      <c r="T996" s="106" t="s">
        <v>22</v>
      </c>
      <c r="U996" s="106"/>
      <c r="V996" s="30" t="s">
        <v>42</v>
      </c>
      <c r="W996" s="174" t="s">
        <v>42</v>
      </c>
      <c r="X996" s="106" t="s">
        <v>23</v>
      </c>
      <c r="Y996" s="106" t="s">
        <v>23</v>
      </c>
      <c r="Z996" s="106" t="s">
        <v>12</v>
      </c>
      <c r="AA996" s="106" t="s">
        <v>43</v>
      </c>
    </row>
    <row r="997" spans="2:27" x14ac:dyDescent="0.25">
      <c r="B997" s="174"/>
      <c r="C997" s="174" t="str">
        <f>TEXT(data[[#This Row],[Fecha de Envío
Cotización]],"MMMM")</f>
        <v>marzo</v>
      </c>
      <c r="D997" s="174">
        <v>44264</v>
      </c>
      <c r="E997" s="174" t="str">
        <f>IF(data[[#This Row],[Estatus de 
Cotización]]="PERDIDO","N/A","")</f>
        <v>N/A</v>
      </c>
      <c r="F997" s="174"/>
      <c r="G997" s="109"/>
      <c r="H997" s="174"/>
      <c r="I997" s="86">
        <v>511554</v>
      </c>
      <c r="J997" s="87">
        <v>20026</v>
      </c>
      <c r="K997" s="24" t="s">
        <v>59</v>
      </c>
      <c r="L997" s="22"/>
      <c r="M997" s="108" t="s">
        <v>789</v>
      </c>
      <c r="N997" s="22">
        <v>3</v>
      </c>
      <c r="O997" s="26"/>
      <c r="P997" s="27">
        <v>42</v>
      </c>
      <c r="Q997" s="28">
        <f>data[[#This Row],[Costo Producto
Proveedor ($/Unid)]]*data[[#This Row],[Cantidad]]</f>
        <v>0</v>
      </c>
      <c r="R997" s="28">
        <f>data[[#This Row],[Cantidad]]*data[[#This Row],[Precio de Venta Cliente ($/Unid)]]</f>
        <v>126</v>
      </c>
      <c r="S997" s="29"/>
      <c r="T997" s="106" t="s">
        <v>22</v>
      </c>
      <c r="U997" s="106"/>
      <c r="V997" s="30" t="s">
        <v>42</v>
      </c>
      <c r="W997" s="174" t="s">
        <v>42</v>
      </c>
      <c r="X997" s="22" t="s">
        <v>23</v>
      </c>
      <c r="Y997" s="22" t="s">
        <v>23</v>
      </c>
      <c r="Z997" s="22" t="s">
        <v>12</v>
      </c>
      <c r="AA997" s="106" t="s">
        <v>43</v>
      </c>
    </row>
    <row r="998" spans="2:27" x14ac:dyDescent="0.25">
      <c r="B998" s="174"/>
      <c r="C998" s="174" t="str">
        <f>TEXT(data[[#This Row],[Fecha de Envío
Cotización]],"MMMM")</f>
        <v>marzo</v>
      </c>
      <c r="D998" s="174">
        <v>44264</v>
      </c>
      <c r="E998" s="174" t="str">
        <f>IF(data[[#This Row],[Estatus de 
Cotización]]="PERDIDO","N/A","")</f>
        <v>N/A</v>
      </c>
      <c r="F998" s="174"/>
      <c r="G998" s="109"/>
      <c r="H998" s="174"/>
      <c r="I998" s="86">
        <v>511555</v>
      </c>
      <c r="J998" s="87">
        <v>20026</v>
      </c>
      <c r="K998" s="24" t="s">
        <v>59</v>
      </c>
      <c r="L998" s="22"/>
      <c r="M998" s="108" t="s">
        <v>790</v>
      </c>
      <c r="N998" s="22">
        <v>4</v>
      </c>
      <c r="O998" s="26"/>
      <c r="P998" s="27">
        <v>7.5</v>
      </c>
      <c r="Q998" s="28">
        <f>data[[#This Row],[Costo Producto
Proveedor ($/Unid)]]*data[[#This Row],[Cantidad]]</f>
        <v>0</v>
      </c>
      <c r="R998" s="28">
        <f>data[[#This Row],[Cantidad]]*data[[#This Row],[Precio de Venta Cliente ($/Unid)]]</f>
        <v>30</v>
      </c>
      <c r="S998" s="29"/>
      <c r="T998" s="106" t="s">
        <v>22</v>
      </c>
      <c r="U998" s="106"/>
      <c r="V998" s="30" t="s">
        <v>42</v>
      </c>
      <c r="W998" s="174" t="s">
        <v>42</v>
      </c>
      <c r="X998" s="22" t="s">
        <v>23</v>
      </c>
      <c r="Y998" s="22" t="s">
        <v>23</v>
      </c>
      <c r="Z998" s="22" t="s">
        <v>12</v>
      </c>
      <c r="AA998" s="106" t="s">
        <v>43</v>
      </c>
    </row>
    <row r="999" spans="2:27" x14ac:dyDescent="0.25">
      <c r="B999" s="174"/>
      <c r="C999" s="174" t="str">
        <f>TEXT(data[[#This Row],[Fecha de Envío
Cotización]],"MMMM")</f>
        <v>marzo</v>
      </c>
      <c r="D999" s="174">
        <v>44264</v>
      </c>
      <c r="E999" s="174" t="str">
        <f>IF(data[[#This Row],[Estatus de 
Cotización]]="PERDIDO","N/A","")</f>
        <v>N/A</v>
      </c>
      <c r="F999" s="174"/>
      <c r="G999" s="109"/>
      <c r="H999" s="174"/>
      <c r="I999" s="86">
        <v>511556</v>
      </c>
      <c r="J999" s="87">
        <v>20026</v>
      </c>
      <c r="K999" s="24" t="s">
        <v>59</v>
      </c>
      <c r="L999" s="22"/>
      <c r="M999" s="33" t="s">
        <v>791</v>
      </c>
      <c r="N999" s="22">
        <v>30</v>
      </c>
      <c r="O999" s="26"/>
      <c r="P999" s="27">
        <v>2.1</v>
      </c>
      <c r="Q999" s="28">
        <f>data[[#This Row],[Costo Producto
Proveedor ($/Unid)]]*data[[#This Row],[Cantidad]]</f>
        <v>0</v>
      </c>
      <c r="R999" s="28">
        <f>data[[#This Row],[Cantidad]]*data[[#This Row],[Precio de Venta Cliente ($/Unid)]]</f>
        <v>63</v>
      </c>
      <c r="S999" s="29"/>
      <c r="T999" s="106" t="s">
        <v>22</v>
      </c>
      <c r="U999" s="106"/>
      <c r="V999" s="30" t="s">
        <v>42</v>
      </c>
      <c r="W999" s="174" t="s">
        <v>42</v>
      </c>
      <c r="X999" s="22" t="s">
        <v>23</v>
      </c>
      <c r="Y999" s="22" t="s">
        <v>23</v>
      </c>
      <c r="Z999" s="22" t="s">
        <v>12</v>
      </c>
      <c r="AA999" s="106" t="s">
        <v>43</v>
      </c>
    </row>
    <row r="1000" spans="2:27" x14ac:dyDescent="0.25">
      <c r="B1000" s="174"/>
      <c r="C1000" s="174" t="str">
        <f>TEXT(data[[#This Row],[Fecha de Envío
Cotización]],"MMMM")</f>
        <v>marzo</v>
      </c>
      <c r="D1000" s="174">
        <v>44265</v>
      </c>
      <c r="E1000" s="174" t="str">
        <f>IF(data[[#This Row],[Estatus de 
Cotización]]="PERDIDO","N/A","")</f>
        <v>N/A</v>
      </c>
      <c r="F1000" s="174"/>
      <c r="G1000" s="109"/>
      <c r="H1000" s="174"/>
      <c r="I1000" s="86">
        <v>511561</v>
      </c>
      <c r="J1000" s="87">
        <v>20027</v>
      </c>
      <c r="K1000" s="24" t="s">
        <v>31</v>
      </c>
      <c r="L1000" s="22"/>
      <c r="M1000" s="108" t="s">
        <v>792</v>
      </c>
      <c r="N1000" s="22">
        <v>6</v>
      </c>
      <c r="O1000" s="26"/>
      <c r="P1000" s="27">
        <v>69</v>
      </c>
      <c r="Q1000" s="28">
        <f>data[[#This Row],[Costo Producto
Proveedor ($/Unid)]]*data[[#This Row],[Cantidad]]</f>
        <v>0</v>
      </c>
      <c r="R1000" s="28">
        <f>data[[#This Row],[Cantidad]]*data[[#This Row],[Precio de Venta Cliente ($/Unid)]]</f>
        <v>414</v>
      </c>
      <c r="S1000" s="29"/>
      <c r="T1000" s="106" t="s">
        <v>22</v>
      </c>
      <c r="U1000" s="106"/>
      <c r="V1000" s="30" t="s">
        <v>42</v>
      </c>
      <c r="W1000" s="174" t="s">
        <v>42</v>
      </c>
      <c r="X1000" s="22" t="s">
        <v>23</v>
      </c>
      <c r="Y1000" s="22" t="s">
        <v>23</v>
      </c>
      <c r="Z1000" s="22" t="s">
        <v>12</v>
      </c>
      <c r="AA1000" s="106" t="s">
        <v>43</v>
      </c>
    </row>
    <row r="1001" spans="2:27" x14ac:dyDescent="0.25">
      <c r="B1001" s="174"/>
      <c r="C1001" s="174" t="str">
        <f>TEXT(data[[#This Row],[Fecha de Envío
Cotización]],"MMMM")</f>
        <v>marzo</v>
      </c>
      <c r="D1001" s="174">
        <v>44265</v>
      </c>
      <c r="E1001" s="174" t="str">
        <f>IF(data[[#This Row],[Estatus de 
Cotización]]="PERDIDO","N/A","")</f>
        <v>N/A</v>
      </c>
      <c r="F1001" s="174"/>
      <c r="G1001" s="109"/>
      <c r="H1001" s="174"/>
      <c r="I1001" s="86">
        <v>511562</v>
      </c>
      <c r="J1001" s="87">
        <v>20027</v>
      </c>
      <c r="K1001" s="24" t="s">
        <v>31</v>
      </c>
      <c r="L1001" s="22"/>
      <c r="M1001" s="108" t="s">
        <v>793</v>
      </c>
      <c r="N1001" s="22">
        <v>6</v>
      </c>
      <c r="O1001" s="26"/>
      <c r="P1001" s="27">
        <v>73</v>
      </c>
      <c r="Q1001" s="28">
        <f>data[[#This Row],[Costo Producto
Proveedor ($/Unid)]]*data[[#This Row],[Cantidad]]</f>
        <v>0</v>
      </c>
      <c r="R1001" s="28">
        <f>data[[#This Row],[Cantidad]]*data[[#This Row],[Precio de Venta Cliente ($/Unid)]]</f>
        <v>438</v>
      </c>
      <c r="S1001" s="29"/>
      <c r="T1001" s="106" t="s">
        <v>22</v>
      </c>
      <c r="U1001" s="106"/>
      <c r="V1001" s="30" t="s">
        <v>42</v>
      </c>
      <c r="W1001" s="174" t="s">
        <v>42</v>
      </c>
      <c r="X1001" s="22" t="s">
        <v>23</v>
      </c>
      <c r="Y1001" s="22" t="s">
        <v>23</v>
      </c>
      <c r="Z1001" s="22" t="s">
        <v>12</v>
      </c>
      <c r="AA1001" s="106" t="s">
        <v>43</v>
      </c>
    </row>
    <row r="1002" spans="2:27" x14ac:dyDescent="0.25">
      <c r="B1002" s="174"/>
      <c r="C1002" s="174" t="str">
        <f>TEXT(data[[#This Row],[Fecha de Envío
Cotización]],"MMMM")</f>
        <v>marzo</v>
      </c>
      <c r="D1002" s="174">
        <v>44265</v>
      </c>
      <c r="E1002" s="174" t="str">
        <f>IF(data[[#This Row],[Estatus de 
Cotización]]="PERDIDO","N/A","")</f>
        <v>N/A</v>
      </c>
      <c r="F1002" s="174"/>
      <c r="G1002" s="109"/>
      <c r="H1002" s="174"/>
      <c r="I1002" s="86">
        <v>511563</v>
      </c>
      <c r="J1002" s="87">
        <v>20027</v>
      </c>
      <c r="K1002" s="24" t="s">
        <v>31</v>
      </c>
      <c r="L1002" s="22"/>
      <c r="M1002" s="108" t="s">
        <v>794</v>
      </c>
      <c r="N1002" s="22">
        <v>6</v>
      </c>
      <c r="O1002" s="26"/>
      <c r="P1002" s="27">
        <v>62</v>
      </c>
      <c r="Q1002" s="28">
        <f>data[[#This Row],[Costo Producto
Proveedor ($/Unid)]]*data[[#This Row],[Cantidad]]</f>
        <v>0</v>
      </c>
      <c r="R1002" s="28">
        <f>data[[#This Row],[Cantidad]]*data[[#This Row],[Precio de Venta Cliente ($/Unid)]]</f>
        <v>372</v>
      </c>
      <c r="S1002" s="29"/>
      <c r="T1002" s="106" t="s">
        <v>22</v>
      </c>
      <c r="U1002" s="106"/>
      <c r="V1002" s="30" t="s">
        <v>42</v>
      </c>
      <c r="W1002" s="174" t="s">
        <v>42</v>
      </c>
      <c r="X1002" s="22" t="s">
        <v>23</v>
      </c>
      <c r="Y1002" s="22" t="s">
        <v>23</v>
      </c>
      <c r="Z1002" s="22" t="s">
        <v>12</v>
      </c>
      <c r="AA1002" s="106" t="s">
        <v>43</v>
      </c>
    </row>
    <row r="1003" spans="2:27" x14ac:dyDescent="0.25">
      <c r="B1003" s="174"/>
      <c r="C1003" s="174" t="str">
        <f>TEXT(data[[#This Row],[Fecha de Envío
Cotización]],"MMMM")</f>
        <v>marzo</v>
      </c>
      <c r="D1003" s="174">
        <v>44266</v>
      </c>
      <c r="E1003" s="174" t="str">
        <f>IF(data[[#This Row],[Estatus de 
Cotización]]="PERDIDO","N/A","")</f>
        <v>N/A</v>
      </c>
      <c r="F1003" s="174"/>
      <c r="G1003" s="109"/>
      <c r="H1003" s="174"/>
      <c r="I1003" s="86">
        <v>511577</v>
      </c>
      <c r="J1003" s="87">
        <v>20028</v>
      </c>
      <c r="K1003" s="24" t="s">
        <v>13</v>
      </c>
      <c r="L1003" s="39"/>
      <c r="M1003" s="108" t="s">
        <v>795</v>
      </c>
      <c r="N1003" s="22">
        <v>1</v>
      </c>
      <c r="O1003" s="26"/>
      <c r="P1003" s="27">
        <v>1380</v>
      </c>
      <c r="Q1003" s="28">
        <f>data[[#This Row],[Costo Producto
Proveedor ($/Unid)]]*data[[#This Row],[Cantidad]]</f>
        <v>0</v>
      </c>
      <c r="R1003" s="28">
        <f>data[[#This Row],[Cantidad]]*data[[#This Row],[Precio de Venta Cliente ($/Unid)]]</f>
        <v>1380</v>
      </c>
      <c r="S1003" s="29"/>
      <c r="T1003" s="106" t="s">
        <v>22</v>
      </c>
      <c r="U1003" s="106"/>
      <c r="V1003" s="30" t="s">
        <v>42</v>
      </c>
      <c r="W1003" s="174" t="s">
        <v>42</v>
      </c>
      <c r="X1003" s="22" t="s">
        <v>23</v>
      </c>
      <c r="Y1003" s="22" t="s">
        <v>23</v>
      </c>
      <c r="Z1003" s="22" t="s">
        <v>12</v>
      </c>
      <c r="AA1003" s="106"/>
    </row>
    <row r="1004" spans="2:27" x14ac:dyDescent="0.25">
      <c r="B1004" s="174"/>
      <c r="C1004" s="174" t="str">
        <f>TEXT(data[[#This Row],[Fecha de Envío
Cotización]],"MMMM")</f>
        <v>marzo</v>
      </c>
      <c r="D1004" s="174">
        <v>44270</v>
      </c>
      <c r="E1004" s="174">
        <v>44271</v>
      </c>
      <c r="F1004" s="174">
        <v>44280</v>
      </c>
      <c r="G1004" s="109"/>
      <c r="H1004" s="174">
        <v>44271</v>
      </c>
      <c r="I1004" s="86">
        <v>511590</v>
      </c>
      <c r="J1004" s="87">
        <v>20028</v>
      </c>
      <c r="K1004" s="24" t="s">
        <v>14</v>
      </c>
      <c r="L1004" s="106"/>
      <c r="M1004" s="108" t="s">
        <v>796</v>
      </c>
      <c r="N1004" s="106">
        <v>2</v>
      </c>
      <c r="O1004" s="107"/>
      <c r="P1004" s="27">
        <v>385</v>
      </c>
      <c r="Q1004" s="28">
        <f>data[[#This Row],[Costo Producto
Proveedor ($/Unid)]]*data[[#This Row],[Cantidad]]</f>
        <v>0</v>
      </c>
      <c r="R1004" s="121">
        <f>data[[#This Row],[Cantidad]]*data[[#This Row],[Precio de Venta Cliente ($/Unid)]]</f>
        <v>770</v>
      </c>
      <c r="S1004" s="29"/>
      <c r="T1004" s="106" t="s">
        <v>15</v>
      </c>
      <c r="U1004" s="106"/>
      <c r="V1004" s="30" t="s">
        <v>44</v>
      </c>
      <c r="W1004" s="32" t="s">
        <v>44</v>
      </c>
      <c r="X1004" s="106" t="s">
        <v>45</v>
      </c>
      <c r="Y1004" s="106" t="s">
        <v>47</v>
      </c>
      <c r="Z1004" s="106" t="s">
        <v>12</v>
      </c>
      <c r="AA1004" s="106"/>
    </row>
    <row r="1005" spans="2:27" x14ac:dyDescent="0.25">
      <c r="B1005" s="174"/>
      <c r="C1005" s="174" t="str">
        <f>TEXT(data[[#This Row],[Fecha de Envío
Cotización]],"MMMM")</f>
        <v>marzo</v>
      </c>
      <c r="D1005" s="174">
        <v>44270</v>
      </c>
      <c r="E1005" s="174" t="str">
        <f>IF(data[[#This Row],[Estatus de 
Cotización]]="PERDIDO","N/A","")</f>
        <v>N/A</v>
      </c>
      <c r="F1005" s="174"/>
      <c r="G1005" s="109"/>
      <c r="H1005" s="174"/>
      <c r="I1005" s="86">
        <v>511591</v>
      </c>
      <c r="J1005" s="87">
        <v>20029</v>
      </c>
      <c r="K1005" s="24" t="s">
        <v>85</v>
      </c>
      <c r="L1005" s="106"/>
      <c r="M1005" s="108" t="s">
        <v>797</v>
      </c>
      <c r="N1005" s="106">
        <v>1</v>
      </c>
      <c r="O1005" s="107"/>
      <c r="P1005" s="27">
        <v>810</v>
      </c>
      <c r="Q1005" s="28">
        <f>data[[#This Row],[Costo Producto
Proveedor ($/Unid)]]*data[[#This Row],[Cantidad]]</f>
        <v>0</v>
      </c>
      <c r="R1005" s="28">
        <f>data[[#This Row],[Cantidad]]*data[[#This Row],[Precio de Venta Cliente ($/Unid)]]</f>
        <v>810</v>
      </c>
      <c r="S1005" s="29"/>
      <c r="T1005" s="106" t="s">
        <v>22</v>
      </c>
      <c r="U1005" s="106"/>
      <c r="V1005" s="30" t="s">
        <v>42</v>
      </c>
      <c r="W1005" s="174" t="s">
        <v>42</v>
      </c>
      <c r="X1005" s="106" t="s">
        <v>23</v>
      </c>
      <c r="Y1005" s="106" t="s">
        <v>23</v>
      </c>
      <c r="Z1005" s="106" t="s">
        <v>12</v>
      </c>
      <c r="AA1005" s="106"/>
    </row>
    <row r="1006" spans="2:27" x14ac:dyDescent="0.25">
      <c r="B1006" s="174"/>
      <c r="C1006" s="174" t="str">
        <f>TEXT(data[[#This Row],[Fecha de Envío
Cotización]],"MMMM")</f>
        <v>marzo</v>
      </c>
      <c r="D1006" s="174">
        <v>44271</v>
      </c>
      <c r="E1006" s="174">
        <v>44278</v>
      </c>
      <c r="F1006" s="174">
        <v>44279</v>
      </c>
      <c r="G1006" s="109"/>
      <c r="H1006" s="174"/>
      <c r="I1006" s="86">
        <v>511593</v>
      </c>
      <c r="J1006" s="87">
        <v>20030</v>
      </c>
      <c r="K1006" s="24" t="s">
        <v>31</v>
      </c>
      <c r="L1006" s="106"/>
      <c r="M1006" s="108" t="s">
        <v>798</v>
      </c>
      <c r="N1006" s="106">
        <v>2</v>
      </c>
      <c r="O1006" s="107"/>
      <c r="P1006" s="27">
        <v>290</v>
      </c>
      <c r="Q1006" s="28">
        <f>data[[#This Row],[Costo Producto
Proveedor ($/Unid)]]*data[[#This Row],[Cantidad]]</f>
        <v>0</v>
      </c>
      <c r="R1006" s="120">
        <f>data[[#This Row],[Cantidad]]*data[[#This Row],[Precio de Venta Cliente ($/Unid)]]</f>
        <v>580</v>
      </c>
      <c r="S1006" s="29"/>
      <c r="T1006" s="106" t="s">
        <v>22</v>
      </c>
      <c r="U1006" s="106"/>
      <c r="V1006" s="30" t="s">
        <v>44</v>
      </c>
      <c r="W1006" s="174" t="s">
        <v>44</v>
      </c>
      <c r="X1006" s="106" t="s">
        <v>45</v>
      </c>
      <c r="Y1006" s="106" t="s">
        <v>47</v>
      </c>
      <c r="Z1006" s="106" t="s">
        <v>12</v>
      </c>
      <c r="AA1006" s="106"/>
    </row>
    <row r="1007" spans="2:27" x14ac:dyDescent="0.25">
      <c r="B1007" s="174"/>
      <c r="C1007" s="174" t="str">
        <f>TEXT(data[[#This Row],[Fecha de Envío
Cotización]],"MMMM")</f>
        <v>marzo</v>
      </c>
      <c r="D1007" s="174">
        <v>44271</v>
      </c>
      <c r="E1007" s="174">
        <v>44278</v>
      </c>
      <c r="F1007" s="174">
        <v>44279</v>
      </c>
      <c r="G1007" s="109"/>
      <c r="H1007" s="174"/>
      <c r="I1007" s="86">
        <v>511594</v>
      </c>
      <c r="J1007" s="87">
        <v>20030</v>
      </c>
      <c r="K1007" s="24" t="s">
        <v>31</v>
      </c>
      <c r="L1007" s="22"/>
      <c r="M1007" s="108" t="s">
        <v>799</v>
      </c>
      <c r="N1007" s="22">
        <v>4</v>
      </c>
      <c r="O1007" s="26"/>
      <c r="P1007" s="27">
        <v>29</v>
      </c>
      <c r="Q1007" s="28">
        <f>data[[#This Row],[Costo Producto
Proveedor ($/Unid)]]*data[[#This Row],[Cantidad]]</f>
        <v>0</v>
      </c>
      <c r="R1007" s="120">
        <f>data[[#This Row],[Cantidad]]*data[[#This Row],[Precio de Venta Cliente ($/Unid)]]</f>
        <v>116</v>
      </c>
      <c r="S1007" s="29"/>
      <c r="T1007" s="106" t="s">
        <v>22</v>
      </c>
      <c r="U1007" s="106"/>
      <c r="V1007" s="30" t="s">
        <v>44</v>
      </c>
      <c r="W1007" s="174" t="s">
        <v>44</v>
      </c>
      <c r="X1007" s="22" t="s">
        <v>45</v>
      </c>
      <c r="Y1007" s="22" t="s">
        <v>47</v>
      </c>
      <c r="Z1007" s="22" t="s">
        <v>12</v>
      </c>
      <c r="AA1007" s="106"/>
    </row>
    <row r="1008" spans="2:27" x14ac:dyDescent="0.25">
      <c r="B1008" s="174"/>
      <c r="C1008" s="174" t="str">
        <f>TEXT(data[[#This Row],[Fecha de Envío
Cotización]],"MMMM")</f>
        <v>marzo</v>
      </c>
      <c r="D1008" s="174">
        <v>44271</v>
      </c>
      <c r="E1008" s="174" t="str">
        <f>IF(data[[#This Row],[Estatus de 
Cotización]]="PERDIDO","N/A","")</f>
        <v>N/A</v>
      </c>
      <c r="F1008" s="174"/>
      <c r="G1008" s="109"/>
      <c r="H1008" s="174"/>
      <c r="I1008" s="86">
        <v>511595</v>
      </c>
      <c r="J1008" s="87">
        <v>20031</v>
      </c>
      <c r="K1008" s="24" t="s">
        <v>58</v>
      </c>
      <c r="L1008" s="22"/>
      <c r="M1008" s="108" t="s">
        <v>800</v>
      </c>
      <c r="N1008" s="22">
        <v>100</v>
      </c>
      <c r="O1008" s="26"/>
      <c r="P1008" s="27">
        <v>8.5</v>
      </c>
      <c r="Q1008" s="28">
        <f>data[[#This Row],[Costo Producto
Proveedor ($/Unid)]]*data[[#This Row],[Cantidad]]</f>
        <v>0</v>
      </c>
      <c r="R1008" s="28">
        <f>data[[#This Row],[Cantidad]]*data[[#This Row],[Precio de Venta Cliente ($/Unid)]]</f>
        <v>850</v>
      </c>
      <c r="S1008" s="29"/>
      <c r="T1008" s="106" t="s">
        <v>22</v>
      </c>
      <c r="U1008" s="106"/>
      <c r="V1008" s="30" t="s">
        <v>42</v>
      </c>
      <c r="W1008" s="174" t="s">
        <v>42</v>
      </c>
      <c r="X1008" s="22" t="s">
        <v>23</v>
      </c>
      <c r="Y1008" s="22" t="s">
        <v>23</v>
      </c>
      <c r="Z1008" s="22" t="s">
        <v>12</v>
      </c>
      <c r="AA1008" s="106" t="s">
        <v>43</v>
      </c>
    </row>
    <row r="1009" spans="2:27" x14ac:dyDescent="0.25">
      <c r="B1009" s="174"/>
      <c r="C1009" s="174" t="str">
        <f>TEXT(data[[#This Row],[Fecha de Envío
Cotización]],"MMMM")</f>
        <v>marzo</v>
      </c>
      <c r="D1009" s="174">
        <v>44271</v>
      </c>
      <c r="E1009" s="174" t="str">
        <f>IF(data[[#This Row],[Estatus de 
Cotización]]="PERDIDO","N/A","")</f>
        <v>N/A</v>
      </c>
      <c r="F1009" s="174"/>
      <c r="G1009" s="109"/>
      <c r="H1009" s="174"/>
      <c r="I1009" s="86">
        <v>511596</v>
      </c>
      <c r="J1009" s="87">
        <v>20032</v>
      </c>
      <c r="K1009" s="24" t="s">
        <v>58</v>
      </c>
      <c r="L1009" s="22"/>
      <c r="M1009" s="108" t="s">
        <v>801</v>
      </c>
      <c r="N1009" s="22">
        <v>50</v>
      </c>
      <c r="O1009" s="26"/>
      <c r="P1009" s="27">
        <v>4.5</v>
      </c>
      <c r="Q1009" s="28">
        <f>data[[#This Row],[Costo Producto
Proveedor ($/Unid)]]*data[[#This Row],[Cantidad]]</f>
        <v>0</v>
      </c>
      <c r="R1009" s="28">
        <f>data[[#This Row],[Cantidad]]*data[[#This Row],[Precio de Venta Cliente ($/Unid)]]</f>
        <v>225</v>
      </c>
      <c r="S1009" s="29"/>
      <c r="T1009" s="106" t="s">
        <v>22</v>
      </c>
      <c r="U1009" s="106"/>
      <c r="V1009" s="30" t="s">
        <v>42</v>
      </c>
      <c r="W1009" s="174" t="s">
        <v>42</v>
      </c>
      <c r="X1009" s="22" t="s">
        <v>23</v>
      </c>
      <c r="Y1009" s="22" t="s">
        <v>23</v>
      </c>
      <c r="Z1009" s="22" t="s">
        <v>12</v>
      </c>
      <c r="AA1009" s="106" t="s">
        <v>43</v>
      </c>
    </row>
    <row r="1010" spans="2:27" x14ac:dyDescent="0.25">
      <c r="B1010" s="174"/>
      <c r="C1010" s="174" t="str">
        <f>TEXT(data[[#This Row],[Fecha de Envío
Cotización]],"MMMM")</f>
        <v>marzo</v>
      </c>
      <c r="D1010" s="174">
        <v>44274</v>
      </c>
      <c r="E1010" s="174">
        <v>44284</v>
      </c>
      <c r="F1010" s="174">
        <v>44307</v>
      </c>
      <c r="G1010" s="109"/>
      <c r="H1010" s="174"/>
      <c r="I1010" s="86">
        <v>511621</v>
      </c>
      <c r="J1010" s="87">
        <v>20037</v>
      </c>
      <c r="K1010" s="24" t="s">
        <v>31</v>
      </c>
      <c r="L1010" s="22"/>
      <c r="M1010" s="105" t="s">
        <v>804</v>
      </c>
      <c r="N1010" s="22">
        <v>1</v>
      </c>
      <c r="O1010" s="26"/>
      <c r="P1010" s="27">
        <v>69</v>
      </c>
      <c r="Q1010" s="28">
        <f>data[[#This Row],[Costo Producto
Proveedor ($/Unid)]]*data[[#This Row],[Cantidad]]</f>
        <v>0</v>
      </c>
      <c r="R1010" s="121">
        <f>data[[#This Row],[Cantidad]]*data[[#This Row],[Precio de Venta Cliente ($/Unid)]]</f>
        <v>69</v>
      </c>
      <c r="S1010" s="29"/>
      <c r="T1010" s="106" t="s">
        <v>77</v>
      </c>
      <c r="U1010" s="106"/>
      <c r="V1010" s="30" t="s">
        <v>44</v>
      </c>
      <c r="W1010" s="174" t="s">
        <v>44</v>
      </c>
      <c r="X1010" s="22" t="s">
        <v>45</v>
      </c>
      <c r="Y1010" s="22" t="s">
        <v>47</v>
      </c>
      <c r="Z1010" s="22" t="s">
        <v>12</v>
      </c>
      <c r="AA1010" s="106"/>
    </row>
    <row r="1011" spans="2:27" x14ac:dyDescent="0.25">
      <c r="B1011" s="174"/>
      <c r="C1011" s="174" t="str">
        <f>TEXT(data[[#This Row],[Fecha de Envío
Cotización]],"MMMM")</f>
        <v>marzo</v>
      </c>
      <c r="D1011" s="174">
        <v>44274</v>
      </c>
      <c r="E1011" s="174">
        <v>44285</v>
      </c>
      <c r="F1011" s="174">
        <v>44309</v>
      </c>
      <c r="G1011" s="109"/>
      <c r="H1011" s="174"/>
      <c r="I1011" s="86">
        <v>511622</v>
      </c>
      <c r="J1011" s="87">
        <v>20035</v>
      </c>
      <c r="K1011" s="24" t="s">
        <v>31</v>
      </c>
      <c r="L1011" s="39"/>
      <c r="M1011" s="105" t="s">
        <v>805</v>
      </c>
      <c r="N1011" s="22">
        <v>1</v>
      </c>
      <c r="O1011" s="26"/>
      <c r="P1011" s="27">
        <v>105</v>
      </c>
      <c r="Q1011" s="28">
        <f>data[[#This Row],[Costo Producto
Proveedor ($/Unid)]]*data[[#This Row],[Cantidad]]</f>
        <v>0</v>
      </c>
      <c r="R1011" s="120">
        <f>data[[#This Row],[Cantidad]]*data[[#This Row],[Precio de Venta Cliente ($/Unid)]]</f>
        <v>105</v>
      </c>
      <c r="S1011" s="29"/>
      <c r="T1011" s="106" t="s">
        <v>15</v>
      </c>
      <c r="U1011" s="106"/>
      <c r="V1011" s="30" t="s">
        <v>44</v>
      </c>
      <c r="W1011" s="32" t="s">
        <v>44</v>
      </c>
      <c r="X1011" s="22" t="s">
        <v>45</v>
      </c>
      <c r="Y1011" s="22" t="s">
        <v>47</v>
      </c>
      <c r="Z1011" s="22" t="s">
        <v>12</v>
      </c>
      <c r="AA1011" s="106"/>
    </row>
    <row r="1012" spans="2:27" x14ac:dyDescent="0.25">
      <c r="B1012" s="174"/>
      <c r="C1012" s="174" t="str">
        <f>TEXT(data[[#This Row],[Fecha de Envío
Cotización]],"MMMM")</f>
        <v>marzo</v>
      </c>
      <c r="D1012" s="174">
        <v>44274</v>
      </c>
      <c r="E1012" s="174">
        <v>44285</v>
      </c>
      <c r="F1012" s="174">
        <v>44309</v>
      </c>
      <c r="G1012" s="109"/>
      <c r="H1012" s="174"/>
      <c r="I1012" s="86">
        <v>511623</v>
      </c>
      <c r="J1012" s="87">
        <v>20035</v>
      </c>
      <c r="K1012" s="24" t="s">
        <v>31</v>
      </c>
      <c r="L1012" s="39"/>
      <c r="M1012" s="105" t="s">
        <v>806</v>
      </c>
      <c r="N1012" s="22">
        <v>1</v>
      </c>
      <c r="O1012" s="26"/>
      <c r="P1012" s="27">
        <v>135</v>
      </c>
      <c r="Q1012" s="28">
        <f>data[[#This Row],[Costo Producto
Proveedor ($/Unid)]]*data[[#This Row],[Cantidad]]</f>
        <v>0</v>
      </c>
      <c r="R1012" s="120">
        <f>data[[#This Row],[Cantidad]]*data[[#This Row],[Precio de Venta Cliente ($/Unid)]]</f>
        <v>135</v>
      </c>
      <c r="S1012" s="29"/>
      <c r="T1012" s="106" t="s">
        <v>15</v>
      </c>
      <c r="U1012" s="106"/>
      <c r="V1012" s="30" t="s">
        <v>44</v>
      </c>
      <c r="W1012" s="32" t="s">
        <v>44</v>
      </c>
      <c r="X1012" s="22" t="s">
        <v>45</v>
      </c>
      <c r="Y1012" s="22" t="s">
        <v>47</v>
      </c>
      <c r="Z1012" s="22" t="s">
        <v>12</v>
      </c>
      <c r="AA1012" s="106"/>
    </row>
    <row r="1013" spans="2:27" ht="15.75" x14ac:dyDescent="0.25">
      <c r="B1013" s="174"/>
      <c r="C1013" s="174" t="str">
        <f>TEXT(data[[#This Row],[Fecha de Envío
Cotización]],"MMMM")</f>
        <v>marzo</v>
      </c>
      <c r="D1013" s="174">
        <v>44274</v>
      </c>
      <c r="E1013" s="174" t="str">
        <f>IF(data[[#This Row],[Estatus de 
Cotización]]="PERDIDO","N/A","")</f>
        <v>N/A</v>
      </c>
      <c r="F1013" s="174"/>
      <c r="G1013" s="109"/>
      <c r="H1013" s="174"/>
      <c r="I1013" s="86">
        <v>511619</v>
      </c>
      <c r="J1013" s="87">
        <v>20034</v>
      </c>
      <c r="K1013" s="24" t="s">
        <v>31</v>
      </c>
      <c r="L1013" s="22"/>
      <c r="M1013" s="108" t="s">
        <v>802</v>
      </c>
      <c r="N1013" s="22">
        <v>20</v>
      </c>
      <c r="O1013" s="26"/>
      <c r="P1013" s="27">
        <v>8.9</v>
      </c>
      <c r="Q1013" s="28">
        <f>data[[#This Row],[Costo Producto
Proveedor ($/Unid)]]*data[[#This Row],[Cantidad]]</f>
        <v>0</v>
      </c>
      <c r="R1013" s="28">
        <f>data[[#This Row],[Cantidad]]*data[[#This Row],[Precio de Venta Cliente ($/Unid)]]</f>
        <v>178</v>
      </c>
      <c r="S1013" s="29"/>
      <c r="T1013" s="106" t="s">
        <v>22</v>
      </c>
      <c r="U1013" s="106"/>
      <c r="V1013" s="30" t="s">
        <v>42</v>
      </c>
      <c r="W1013" s="174" t="s">
        <v>42</v>
      </c>
      <c r="X1013" s="22" t="s">
        <v>23</v>
      </c>
      <c r="Y1013" s="22" t="s">
        <v>23</v>
      </c>
      <c r="Z1013" s="22" t="s">
        <v>12</v>
      </c>
      <c r="AA1013" s="5" t="s">
        <v>110</v>
      </c>
    </row>
    <row r="1014" spans="2:27" s="105" customFormat="1" ht="15.75" x14ac:dyDescent="0.25">
      <c r="B1014" s="174"/>
      <c r="C1014" s="174" t="str">
        <f>TEXT(data[[#This Row],[Fecha de Envío
Cotización]],"MMMM")</f>
        <v>marzo</v>
      </c>
      <c r="D1014" s="174">
        <v>44274</v>
      </c>
      <c r="E1014" s="174" t="str">
        <f>IF(data[[#This Row],[Estatus de 
Cotización]]="PERDIDO","N/A","")</f>
        <v>N/A</v>
      </c>
      <c r="F1014" s="174"/>
      <c r="G1014" s="109"/>
      <c r="H1014" s="174"/>
      <c r="I1014" s="86">
        <v>511620</v>
      </c>
      <c r="J1014" s="87">
        <v>20034</v>
      </c>
      <c r="K1014" s="24" t="s">
        <v>31</v>
      </c>
      <c r="L1014" s="106"/>
      <c r="M1014" s="108" t="s">
        <v>803</v>
      </c>
      <c r="N1014" s="106">
        <v>1</v>
      </c>
      <c r="O1014" s="107"/>
      <c r="P1014" s="27">
        <v>48</v>
      </c>
      <c r="Q1014" s="28">
        <f>data[[#This Row],[Costo Producto
Proveedor ($/Unid)]]*data[[#This Row],[Cantidad]]</f>
        <v>0</v>
      </c>
      <c r="R1014" s="28">
        <f>data[[#This Row],[Cantidad]]*data[[#This Row],[Precio de Venta Cliente ($/Unid)]]</f>
        <v>48</v>
      </c>
      <c r="S1014" s="29"/>
      <c r="T1014" s="106" t="s">
        <v>22</v>
      </c>
      <c r="U1014" s="106"/>
      <c r="V1014" s="30" t="s">
        <v>42</v>
      </c>
      <c r="W1014" s="174" t="s">
        <v>42</v>
      </c>
      <c r="X1014" s="106" t="s">
        <v>23</v>
      </c>
      <c r="Y1014" s="106" t="s">
        <v>23</v>
      </c>
      <c r="Z1014" s="106" t="s">
        <v>12</v>
      </c>
      <c r="AA1014" s="5" t="s">
        <v>110</v>
      </c>
    </row>
    <row r="1015" spans="2:27" x14ac:dyDescent="0.25">
      <c r="B1015" s="174"/>
      <c r="C1015" s="174" t="str">
        <f>TEXT(data[[#This Row],[Fecha de Envío
Cotización]],"MMMM")</f>
        <v>marzo</v>
      </c>
      <c r="D1015" s="174">
        <v>44279</v>
      </c>
      <c r="E1015" s="174" t="str">
        <f>IF(data[[#This Row],[Estatus de 
Cotización]]="PERDIDO","N/A","")</f>
        <v>N/A</v>
      </c>
      <c r="F1015" s="174"/>
      <c r="G1015" s="109"/>
      <c r="H1015" s="174"/>
      <c r="I1015" s="86">
        <v>511685</v>
      </c>
      <c r="J1015" s="87">
        <v>262910</v>
      </c>
      <c r="K1015" s="24" t="s">
        <v>130</v>
      </c>
      <c r="L1015" s="22"/>
      <c r="M1015" s="108" t="s">
        <v>628</v>
      </c>
      <c r="N1015" s="22">
        <v>1</v>
      </c>
      <c r="O1015" s="26"/>
      <c r="P1015" s="27">
        <v>3189.16</v>
      </c>
      <c r="Q1015" s="28">
        <f>data[[#This Row],[Costo Producto
Proveedor ($/Unid)]]*data[[#This Row],[Cantidad]]</f>
        <v>0</v>
      </c>
      <c r="R1015" s="28">
        <f>data[[#This Row],[Cantidad]]*data[[#This Row],[Precio de Venta Cliente ($/Unid)]]</f>
        <v>3189.16</v>
      </c>
      <c r="S1015" s="29"/>
      <c r="T1015" s="106" t="s">
        <v>56</v>
      </c>
      <c r="U1015" s="106"/>
      <c r="V1015" s="30" t="s">
        <v>42</v>
      </c>
      <c r="W1015" s="32" t="s">
        <v>42</v>
      </c>
      <c r="X1015" s="22" t="s">
        <v>23</v>
      </c>
      <c r="Y1015" s="22" t="s">
        <v>23</v>
      </c>
      <c r="Z1015" s="22" t="s">
        <v>12</v>
      </c>
      <c r="AA1015" s="106"/>
    </row>
    <row r="1016" spans="2:27" x14ac:dyDescent="0.25">
      <c r="B1016" s="174"/>
      <c r="C1016" s="174" t="str">
        <f>TEXT(data[[#This Row],[Fecha de Envío
Cotización]],"MMMM")</f>
        <v>marzo</v>
      </c>
      <c r="D1016" s="174">
        <v>44279</v>
      </c>
      <c r="E1016" s="174" t="str">
        <f>IF(data[[#This Row],[Estatus de 
Cotización]]="PERDIDO","N/A","")</f>
        <v>N/A</v>
      </c>
      <c r="F1016" s="174"/>
      <c r="G1016" s="109"/>
      <c r="H1016" s="174"/>
      <c r="I1016" s="86">
        <v>511686</v>
      </c>
      <c r="J1016" s="87">
        <v>262910</v>
      </c>
      <c r="K1016" s="24" t="s">
        <v>130</v>
      </c>
      <c r="L1016" s="22"/>
      <c r="M1016" s="108" t="s">
        <v>629</v>
      </c>
      <c r="N1016" s="22">
        <v>1</v>
      </c>
      <c r="O1016" s="26"/>
      <c r="P1016" s="27">
        <v>3189.16</v>
      </c>
      <c r="Q1016" s="28">
        <f>data[[#This Row],[Costo Producto
Proveedor ($/Unid)]]*data[[#This Row],[Cantidad]]</f>
        <v>0</v>
      </c>
      <c r="R1016" s="28">
        <f>data[[#This Row],[Cantidad]]*data[[#This Row],[Precio de Venta Cliente ($/Unid)]]</f>
        <v>3189.16</v>
      </c>
      <c r="S1016" s="29"/>
      <c r="T1016" s="106" t="s">
        <v>56</v>
      </c>
      <c r="U1016" s="106"/>
      <c r="V1016" s="30" t="s">
        <v>42</v>
      </c>
      <c r="W1016" s="32" t="s">
        <v>42</v>
      </c>
      <c r="X1016" s="22" t="s">
        <v>23</v>
      </c>
      <c r="Y1016" s="22" t="s">
        <v>23</v>
      </c>
      <c r="Z1016" s="22" t="s">
        <v>12</v>
      </c>
      <c r="AA1016" s="106"/>
    </row>
    <row r="1017" spans="2:27" x14ac:dyDescent="0.25">
      <c r="B1017" s="174"/>
      <c r="C1017" s="174" t="str">
        <f>TEXT(data[[#This Row],[Fecha de Envío
Cotización]],"MMMM")</f>
        <v>marzo</v>
      </c>
      <c r="D1017" s="174">
        <v>44279</v>
      </c>
      <c r="E1017" s="174" t="str">
        <f>IF(data[[#This Row],[Estatus de 
Cotización]]="PERDIDO","N/A","")</f>
        <v>N/A</v>
      </c>
      <c r="F1017" s="174"/>
      <c r="G1017" s="109"/>
      <c r="H1017" s="174"/>
      <c r="I1017" s="86">
        <v>511687</v>
      </c>
      <c r="J1017" s="87">
        <v>262910</v>
      </c>
      <c r="K1017" s="24" t="s">
        <v>130</v>
      </c>
      <c r="L1017" s="106"/>
      <c r="M1017" s="108" t="s">
        <v>630</v>
      </c>
      <c r="N1017" s="106">
        <v>1</v>
      </c>
      <c r="O1017" s="107"/>
      <c r="P1017" s="27">
        <v>3189.16</v>
      </c>
      <c r="Q1017" s="28">
        <f>data[[#This Row],[Costo Producto
Proveedor ($/Unid)]]*data[[#This Row],[Cantidad]]</f>
        <v>0</v>
      </c>
      <c r="R1017" s="28">
        <f>data[[#This Row],[Cantidad]]*data[[#This Row],[Precio de Venta Cliente ($/Unid)]]</f>
        <v>3189.16</v>
      </c>
      <c r="S1017" s="29"/>
      <c r="T1017" s="106" t="s">
        <v>56</v>
      </c>
      <c r="U1017" s="106"/>
      <c r="V1017" s="30" t="s">
        <v>42</v>
      </c>
      <c r="W1017" s="32" t="s">
        <v>42</v>
      </c>
      <c r="X1017" s="106" t="s">
        <v>23</v>
      </c>
      <c r="Y1017" s="106" t="s">
        <v>23</v>
      </c>
      <c r="Z1017" s="106" t="s">
        <v>12</v>
      </c>
      <c r="AA1017" s="106"/>
    </row>
    <row r="1018" spans="2:27" x14ac:dyDescent="0.25">
      <c r="B1018" s="174"/>
      <c r="C1018" s="174" t="str">
        <f>TEXT(data[[#This Row],[Fecha de Envío
Cotización]],"MMMM")</f>
        <v>marzo</v>
      </c>
      <c r="D1018" s="174">
        <v>44279</v>
      </c>
      <c r="E1018" s="174" t="str">
        <f>IF(data[[#This Row],[Estatus de 
Cotización]]="PERDIDO","N/A","")</f>
        <v>N/A</v>
      </c>
      <c r="F1018" s="174"/>
      <c r="G1018" s="109"/>
      <c r="H1018" s="174"/>
      <c r="I1018" s="86">
        <v>511688</v>
      </c>
      <c r="J1018" s="87">
        <v>262912</v>
      </c>
      <c r="K1018" s="24" t="s">
        <v>130</v>
      </c>
      <c r="L1018" s="106"/>
      <c r="M1018" s="108" t="s">
        <v>631</v>
      </c>
      <c r="N1018" s="106">
        <v>1</v>
      </c>
      <c r="O1018" s="107"/>
      <c r="P1018" s="27">
        <v>895.52</v>
      </c>
      <c r="Q1018" s="28">
        <f>data[[#This Row],[Costo Producto
Proveedor ($/Unid)]]*data[[#This Row],[Cantidad]]</f>
        <v>0</v>
      </c>
      <c r="R1018" s="28">
        <f>data[[#This Row],[Cantidad]]*data[[#This Row],[Precio de Venta Cliente ($/Unid)]]</f>
        <v>895.52</v>
      </c>
      <c r="S1018" s="29"/>
      <c r="T1018" s="106" t="s">
        <v>16</v>
      </c>
      <c r="U1018" s="106"/>
      <c r="V1018" s="30" t="s">
        <v>42</v>
      </c>
      <c r="W1018" s="32" t="s">
        <v>42</v>
      </c>
      <c r="X1018" s="106" t="s">
        <v>23</v>
      </c>
      <c r="Y1018" s="106" t="s">
        <v>23</v>
      </c>
      <c r="Z1018" s="106" t="s">
        <v>12</v>
      </c>
      <c r="AA1018" s="106"/>
    </row>
    <row r="1019" spans="2:27" x14ac:dyDescent="0.25">
      <c r="B1019" s="174"/>
      <c r="C1019" s="174" t="str">
        <f>TEXT(data[[#This Row],[Fecha de Envío
Cotización]],"MMMM")</f>
        <v>marzo</v>
      </c>
      <c r="D1019" s="174">
        <v>44279</v>
      </c>
      <c r="E1019" s="174" t="str">
        <f>IF(data[[#This Row],[Estatus de 
Cotización]]="PERDIDO","N/A","")</f>
        <v>N/A</v>
      </c>
      <c r="F1019" s="174"/>
      <c r="G1019" s="109"/>
      <c r="H1019" s="174"/>
      <c r="I1019" s="86">
        <v>511689</v>
      </c>
      <c r="J1019" s="87">
        <v>262912</v>
      </c>
      <c r="K1019" s="24" t="s">
        <v>130</v>
      </c>
      <c r="L1019" s="22"/>
      <c r="M1019" s="108" t="s">
        <v>632</v>
      </c>
      <c r="N1019" s="22">
        <v>1</v>
      </c>
      <c r="O1019" s="26"/>
      <c r="P1019" s="27">
        <v>926.38</v>
      </c>
      <c r="Q1019" s="28">
        <f>data[[#This Row],[Costo Producto
Proveedor ($/Unid)]]*data[[#This Row],[Cantidad]]</f>
        <v>0</v>
      </c>
      <c r="R1019" s="28">
        <f>data[[#This Row],[Cantidad]]*data[[#This Row],[Precio de Venta Cliente ($/Unid)]]</f>
        <v>926.38</v>
      </c>
      <c r="S1019" s="29"/>
      <c r="T1019" s="106" t="s">
        <v>16</v>
      </c>
      <c r="U1019" s="106"/>
      <c r="V1019" s="30" t="s">
        <v>42</v>
      </c>
      <c r="W1019" s="32" t="s">
        <v>42</v>
      </c>
      <c r="X1019" s="22" t="s">
        <v>23</v>
      </c>
      <c r="Y1019" s="22" t="s">
        <v>23</v>
      </c>
      <c r="Z1019" s="22" t="s">
        <v>12</v>
      </c>
      <c r="AA1019" s="106"/>
    </row>
    <row r="1020" spans="2:27" x14ac:dyDescent="0.25">
      <c r="B1020" s="174"/>
      <c r="C1020" s="174" t="str">
        <f>TEXT(data[[#This Row],[Fecha de Envío
Cotización]],"MMMM")</f>
        <v>marzo</v>
      </c>
      <c r="D1020" s="174">
        <v>44279</v>
      </c>
      <c r="E1020" s="174" t="str">
        <f>IF(data[[#This Row],[Estatus de 
Cotización]]="PERDIDO","N/A","")</f>
        <v>N/A</v>
      </c>
      <c r="F1020" s="174"/>
      <c r="G1020" s="109"/>
      <c r="H1020" s="174"/>
      <c r="I1020" s="86">
        <v>511690</v>
      </c>
      <c r="J1020" s="87">
        <v>262911</v>
      </c>
      <c r="K1020" s="24" t="s">
        <v>130</v>
      </c>
      <c r="L1020" s="22"/>
      <c r="M1020" s="108" t="s">
        <v>634</v>
      </c>
      <c r="N1020" s="22">
        <v>2</v>
      </c>
      <c r="O1020" s="26"/>
      <c r="P1020" s="27">
        <v>240.86</v>
      </c>
      <c r="Q1020" s="28">
        <f>data[[#This Row],[Costo Producto
Proveedor ($/Unid)]]*data[[#This Row],[Cantidad]]</f>
        <v>0</v>
      </c>
      <c r="R1020" s="28">
        <f>data[[#This Row],[Cantidad]]*data[[#This Row],[Precio de Venta Cliente ($/Unid)]]</f>
        <v>481.72</v>
      </c>
      <c r="S1020" s="29"/>
      <c r="T1020" s="106" t="s">
        <v>16</v>
      </c>
      <c r="U1020" s="106"/>
      <c r="V1020" s="30" t="s">
        <v>42</v>
      </c>
      <c r="W1020" s="32" t="s">
        <v>42</v>
      </c>
      <c r="X1020" s="22" t="s">
        <v>23</v>
      </c>
      <c r="Y1020" s="22" t="s">
        <v>23</v>
      </c>
      <c r="Z1020" s="22" t="s">
        <v>12</v>
      </c>
      <c r="AA1020" s="106"/>
    </row>
    <row r="1021" spans="2:27" x14ac:dyDescent="0.25">
      <c r="B1021" s="174"/>
      <c r="C1021" s="174" t="str">
        <f>TEXT(data[[#This Row],[Fecha de Envío
Cotización]],"MMMM")</f>
        <v>marzo</v>
      </c>
      <c r="D1021" s="174">
        <v>44279</v>
      </c>
      <c r="E1021" s="174" t="str">
        <f>IF(data[[#This Row],[Estatus de 
Cotización]]="PERDIDO","N/A","")</f>
        <v>N/A</v>
      </c>
      <c r="F1021" s="174"/>
      <c r="G1021" s="109"/>
      <c r="H1021" s="174"/>
      <c r="I1021" s="86">
        <v>511691</v>
      </c>
      <c r="J1021" s="87">
        <v>262911</v>
      </c>
      <c r="K1021" s="24" t="s">
        <v>130</v>
      </c>
      <c r="L1021" s="22"/>
      <c r="M1021" s="108" t="s">
        <v>635</v>
      </c>
      <c r="N1021" s="22">
        <v>5</v>
      </c>
      <c r="O1021" s="26"/>
      <c r="P1021" s="27">
        <v>37.049999999999997</v>
      </c>
      <c r="Q1021" s="28">
        <f>data[[#This Row],[Costo Producto
Proveedor ($/Unid)]]*data[[#This Row],[Cantidad]]</f>
        <v>0</v>
      </c>
      <c r="R1021" s="28">
        <f>data[[#This Row],[Cantidad]]*data[[#This Row],[Precio de Venta Cliente ($/Unid)]]</f>
        <v>185.25</v>
      </c>
      <c r="S1021" s="29"/>
      <c r="T1021" s="106" t="s">
        <v>16</v>
      </c>
      <c r="U1021" s="106"/>
      <c r="V1021" s="30" t="s">
        <v>42</v>
      </c>
      <c r="W1021" s="32" t="s">
        <v>42</v>
      </c>
      <c r="X1021" s="22" t="s">
        <v>23</v>
      </c>
      <c r="Y1021" s="22" t="s">
        <v>23</v>
      </c>
      <c r="Z1021" s="22" t="s">
        <v>12</v>
      </c>
      <c r="AA1021" s="106"/>
    </row>
    <row r="1022" spans="2:27" x14ac:dyDescent="0.25">
      <c r="B1022" s="174"/>
      <c r="C1022" s="174" t="str">
        <f>TEXT(data[[#This Row],[Fecha de Envío
Cotización]],"MMMM")</f>
        <v>marzo</v>
      </c>
      <c r="D1022" s="174">
        <v>44279</v>
      </c>
      <c r="E1022" s="174" t="str">
        <f>IF(data[[#This Row],[Estatus de 
Cotización]]="PERDIDO","N/A","")</f>
        <v>N/A</v>
      </c>
      <c r="F1022" s="174"/>
      <c r="G1022" s="109"/>
      <c r="H1022" s="174"/>
      <c r="I1022" s="86">
        <v>511692</v>
      </c>
      <c r="J1022" s="87">
        <v>262911</v>
      </c>
      <c r="K1022" s="24" t="s">
        <v>130</v>
      </c>
      <c r="L1022" s="106"/>
      <c r="M1022" s="108" t="s">
        <v>636</v>
      </c>
      <c r="N1022" s="106">
        <v>9</v>
      </c>
      <c r="O1022" s="107"/>
      <c r="P1022" s="27">
        <v>4.17</v>
      </c>
      <c r="Q1022" s="28">
        <f>data[[#This Row],[Costo Producto
Proveedor ($/Unid)]]*data[[#This Row],[Cantidad]]</f>
        <v>0</v>
      </c>
      <c r="R1022" s="28">
        <f>data[[#This Row],[Cantidad]]*data[[#This Row],[Precio de Venta Cliente ($/Unid)]]</f>
        <v>37.53</v>
      </c>
      <c r="S1022" s="29"/>
      <c r="T1022" s="106" t="s">
        <v>16</v>
      </c>
      <c r="U1022" s="106"/>
      <c r="V1022" s="30" t="s">
        <v>42</v>
      </c>
      <c r="W1022" s="32" t="s">
        <v>42</v>
      </c>
      <c r="X1022" s="106" t="s">
        <v>23</v>
      </c>
      <c r="Y1022" s="106" t="s">
        <v>23</v>
      </c>
      <c r="Z1022" s="106" t="s">
        <v>12</v>
      </c>
      <c r="AA1022" s="106"/>
    </row>
    <row r="1023" spans="2:27" x14ac:dyDescent="0.25">
      <c r="B1023" s="174"/>
      <c r="C1023" s="174" t="str">
        <f>TEXT(data[[#This Row],[Fecha de Envío
Cotización]],"MMMM")</f>
        <v>marzo</v>
      </c>
      <c r="D1023" s="174">
        <v>44279</v>
      </c>
      <c r="E1023" s="174" t="str">
        <f>IF(data[[#This Row],[Estatus de 
Cotización]]="PERDIDO","N/A","")</f>
        <v>N/A</v>
      </c>
      <c r="F1023" s="174"/>
      <c r="G1023" s="109"/>
      <c r="H1023" s="174"/>
      <c r="I1023" s="86">
        <v>511693</v>
      </c>
      <c r="J1023" s="87">
        <v>262911</v>
      </c>
      <c r="K1023" s="24" t="s">
        <v>130</v>
      </c>
      <c r="L1023" s="22"/>
      <c r="M1023" s="108" t="s">
        <v>637</v>
      </c>
      <c r="N1023" s="22">
        <v>50</v>
      </c>
      <c r="O1023" s="26"/>
      <c r="P1023" s="27">
        <v>4.8099999999999996</v>
      </c>
      <c r="Q1023" s="28">
        <f>data[[#This Row],[Costo Producto
Proveedor ($/Unid)]]*data[[#This Row],[Cantidad]]</f>
        <v>0</v>
      </c>
      <c r="R1023" s="28">
        <f>data[[#This Row],[Cantidad]]*data[[#This Row],[Precio de Venta Cliente ($/Unid)]]</f>
        <v>240.49999999999997</v>
      </c>
      <c r="S1023" s="29"/>
      <c r="T1023" s="106" t="s">
        <v>16</v>
      </c>
      <c r="U1023" s="106"/>
      <c r="V1023" s="30" t="s">
        <v>42</v>
      </c>
      <c r="W1023" s="32" t="s">
        <v>42</v>
      </c>
      <c r="X1023" s="22" t="s">
        <v>23</v>
      </c>
      <c r="Y1023" s="22" t="s">
        <v>23</v>
      </c>
      <c r="Z1023" s="22" t="s">
        <v>12</v>
      </c>
      <c r="AA1023" s="106"/>
    </row>
    <row r="1024" spans="2:27" x14ac:dyDescent="0.25">
      <c r="B1024" s="174"/>
      <c r="C1024" s="174" t="str">
        <f>TEXT(data[[#This Row],[Fecha de Envío
Cotización]],"MMMM")</f>
        <v>marzo</v>
      </c>
      <c r="D1024" s="174">
        <v>44279</v>
      </c>
      <c r="E1024" s="174" t="str">
        <f>IF(data[[#This Row],[Estatus de 
Cotización]]="PERDIDO","N/A","")</f>
        <v>N/A</v>
      </c>
      <c r="F1024" s="174"/>
      <c r="G1024" s="109"/>
      <c r="H1024" s="174"/>
      <c r="I1024" s="86">
        <v>511694</v>
      </c>
      <c r="J1024" s="87">
        <v>262911</v>
      </c>
      <c r="K1024" s="24" t="s">
        <v>130</v>
      </c>
      <c r="L1024" s="22"/>
      <c r="M1024" s="108" t="s">
        <v>638</v>
      </c>
      <c r="N1024" s="22">
        <v>3</v>
      </c>
      <c r="O1024" s="26"/>
      <c r="P1024" s="27">
        <v>166.75</v>
      </c>
      <c r="Q1024" s="28">
        <f>data[[#This Row],[Costo Producto
Proveedor ($/Unid)]]*data[[#This Row],[Cantidad]]</f>
        <v>0</v>
      </c>
      <c r="R1024" s="28">
        <f>data[[#This Row],[Cantidad]]*data[[#This Row],[Precio de Venta Cliente ($/Unid)]]</f>
        <v>500.25</v>
      </c>
      <c r="S1024" s="29"/>
      <c r="T1024" s="106" t="s">
        <v>16</v>
      </c>
      <c r="U1024" s="106"/>
      <c r="V1024" s="30" t="s">
        <v>42</v>
      </c>
      <c r="W1024" s="32" t="s">
        <v>42</v>
      </c>
      <c r="X1024" s="22" t="s">
        <v>23</v>
      </c>
      <c r="Y1024" s="22" t="s">
        <v>23</v>
      </c>
      <c r="Z1024" s="22" t="s">
        <v>12</v>
      </c>
      <c r="AA1024" s="106"/>
    </row>
    <row r="1025" spans="2:27" x14ac:dyDescent="0.25">
      <c r="B1025" s="174"/>
      <c r="C1025" s="174" t="str">
        <f>TEXT(data[[#This Row],[Fecha de Envío
Cotización]],"MMMM")</f>
        <v>marzo</v>
      </c>
      <c r="D1025" s="174">
        <v>44279</v>
      </c>
      <c r="E1025" s="174" t="str">
        <f>IF(data[[#This Row],[Estatus de 
Cotización]]="PERDIDO","N/A","")</f>
        <v>N/A</v>
      </c>
      <c r="F1025" s="174"/>
      <c r="G1025" s="109"/>
      <c r="H1025" s="174"/>
      <c r="I1025" s="86">
        <v>511695</v>
      </c>
      <c r="J1025" s="87">
        <v>262911</v>
      </c>
      <c r="K1025" s="24" t="s">
        <v>130</v>
      </c>
      <c r="L1025" s="106"/>
      <c r="M1025" s="108" t="s">
        <v>639</v>
      </c>
      <c r="N1025" s="106">
        <v>6</v>
      </c>
      <c r="O1025" s="107"/>
      <c r="P1025" s="27">
        <v>30.66</v>
      </c>
      <c r="Q1025" s="28">
        <f>data[[#This Row],[Costo Producto
Proveedor ($/Unid)]]*data[[#This Row],[Cantidad]]</f>
        <v>0</v>
      </c>
      <c r="R1025" s="28">
        <f>data[[#This Row],[Cantidad]]*data[[#This Row],[Precio de Venta Cliente ($/Unid)]]</f>
        <v>183.96</v>
      </c>
      <c r="S1025" s="29"/>
      <c r="T1025" s="106" t="s">
        <v>16</v>
      </c>
      <c r="U1025" s="106"/>
      <c r="V1025" s="30" t="s">
        <v>42</v>
      </c>
      <c r="W1025" s="32" t="s">
        <v>42</v>
      </c>
      <c r="X1025" s="106" t="s">
        <v>23</v>
      </c>
      <c r="Y1025" s="106" t="s">
        <v>23</v>
      </c>
      <c r="Z1025" s="106" t="s">
        <v>12</v>
      </c>
      <c r="AA1025" s="106"/>
    </row>
    <row r="1026" spans="2:27" x14ac:dyDescent="0.25">
      <c r="B1026" s="174"/>
      <c r="C1026" s="174" t="str">
        <f>TEXT(data[[#This Row],[Fecha de Envío
Cotización]],"MMMM")</f>
        <v>marzo</v>
      </c>
      <c r="D1026" s="174">
        <v>44280</v>
      </c>
      <c r="E1026" s="174" t="str">
        <f>IF(data[[#This Row],[Estatus de 
Cotización]]="PERDIDO","N/A","")</f>
        <v>N/A</v>
      </c>
      <c r="F1026" s="174"/>
      <c r="G1026" s="109"/>
      <c r="H1026" s="174"/>
      <c r="I1026" s="86">
        <v>511715</v>
      </c>
      <c r="J1026" s="87">
        <v>20039</v>
      </c>
      <c r="K1026" s="24" t="s">
        <v>98</v>
      </c>
      <c r="L1026" s="106"/>
      <c r="M1026" s="108" t="s">
        <v>807</v>
      </c>
      <c r="N1026" s="106">
        <v>1</v>
      </c>
      <c r="O1026" s="107"/>
      <c r="P1026" s="27">
        <v>386</v>
      </c>
      <c r="Q1026" s="28">
        <f>data[[#This Row],[Costo Producto
Proveedor ($/Unid)]]*data[[#This Row],[Cantidad]]</f>
        <v>0</v>
      </c>
      <c r="R1026" s="28">
        <f>data[[#This Row],[Cantidad]]*data[[#This Row],[Precio de Venta Cliente ($/Unid)]]</f>
        <v>386</v>
      </c>
      <c r="S1026" s="29"/>
      <c r="T1026" s="106" t="s">
        <v>22</v>
      </c>
      <c r="U1026" s="106"/>
      <c r="V1026" s="30" t="s">
        <v>42</v>
      </c>
      <c r="W1026" s="174" t="s">
        <v>42</v>
      </c>
      <c r="X1026" s="106" t="s">
        <v>23</v>
      </c>
      <c r="Y1026" s="106" t="s">
        <v>23</v>
      </c>
      <c r="Z1026" s="106" t="s">
        <v>12</v>
      </c>
      <c r="AA1026" s="106"/>
    </row>
    <row r="1027" spans="2:27" x14ac:dyDescent="0.25">
      <c r="B1027" s="174"/>
      <c r="C1027" s="174" t="str">
        <f>TEXT(data[[#This Row],[Fecha de Envío
Cotización]],"MMMM")</f>
        <v>marzo</v>
      </c>
      <c r="D1027" s="174">
        <v>44280</v>
      </c>
      <c r="E1027" s="174" t="str">
        <f>IF(data[[#This Row],[Estatus de 
Cotización]]="PERDIDO","N/A","")</f>
        <v/>
      </c>
      <c r="F1027" s="174"/>
      <c r="G1027" s="109"/>
      <c r="H1027" s="174"/>
      <c r="I1027" s="86">
        <v>511716</v>
      </c>
      <c r="J1027" s="87">
        <v>20038</v>
      </c>
      <c r="K1027" s="24" t="s">
        <v>14</v>
      </c>
      <c r="L1027" s="106"/>
      <c r="M1027" s="108" t="s">
        <v>808</v>
      </c>
      <c r="N1027" s="106">
        <v>6</v>
      </c>
      <c r="O1027" s="107"/>
      <c r="P1027" s="27">
        <v>246</v>
      </c>
      <c r="Q1027" s="28">
        <f>data[[#This Row],[Costo Producto
Proveedor ($/Unid)]]*data[[#This Row],[Cantidad]]</f>
        <v>0</v>
      </c>
      <c r="R1027" s="28">
        <f>data[[#This Row],[Cantidad]]*data[[#This Row],[Precio de Venta Cliente ($/Unid)]]</f>
        <v>1476</v>
      </c>
      <c r="S1027" s="29"/>
      <c r="T1027" s="106" t="s">
        <v>15</v>
      </c>
      <c r="U1027" s="106"/>
      <c r="V1027" s="30" t="s">
        <v>46</v>
      </c>
      <c r="W1027" s="174" t="s">
        <v>46</v>
      </c>
      <c r="X1027" s="106" t="s">
        <v>23</v>
      </c>
      <c r="Y1027" s="106" t="s">
        <v>23</v>
      </c>
      <c r="Z1027" s="106" t="s">
        <v>12</v>
      </c>
      <c r="AA1027" s="106"/>
    </row>
    <row r="1028" spans="2:27" x14ac:dyDescent="0.25">
      <c r="B1028" s="174"/>
      <c r="C1028" s="174" t="str">
        <f>TEXT(data[[#This Row],[Fecha de Envío
Cotización]],"MMMM")</f>
        <v>marzo</v>
      </c>
      <c r="D1028" s="174">
        <v>44281</v>
      </c>
      <c r="E1028" s="174" t="str">
        <f>IF(data[[#This Row],[Estatus de 
Cotización]]="PERDIDO","N/A","")</f>
        <v>N/A</v>
      </c>
      <c r="F1028" s="174"/>
      <c r="G1028" s="109"/>
      <c r="H1028" s="174"/>
      <c r="I1028" s="86">
        <v>511743</v>
      </c>
      <c r="J1028" s="87">
        <v>29656</v>
      </c>
      <c r="K1028" s="24" t="s">
        <v>130</v>
      </c>
      <c r="L1028" s="106"/>
      <c r="M1028" s="108" t="s">
        <v>641</v>
      </c>
      <c r="N1028" s="106">
        <v>2</v>
      </c>
      <c r="O1028" s="107"/>
      <c r="P1028" s="27">
        <v>2937.5</v>
      </c>
      <c r="Q1028" s="28">
        <f>data[[#This Row],[Costo Producto
Proveedor ($/Unid)]]*data[[#This Row],[Cantidad]]</f>
        <v>0</v>
      </c>
      <c r="R1028" s="28">
        <f>data[[#This Row],[Cantidad]]*data[[#This Row],[Precio de Venta Cliente ($/Unid)]]</f>
        <v>5875</v>
      </c>
      <c r="S1028" s="29"/>
      <c r="T1028" s="106" t="s">
        <v>36</v>
      </c>
      <c r="U1028" s="106"/>
      <c r="V1028" s="30" t="s">
        <v>42</v>
      </c>
      <c r="W1028" s="32" t="s">
        <v>42</v>
      </c>
      <c r="X1028" s="106" t="s">
        <v>23</v>
      </c>
      <c r="Y1028" s="106" t="s">
        <v>23</v>
      </c>
      <c r="Z1028" s="106" t="s">
        <v>12</v>
      </c>
      <c r="AA1028" s="106"/>
    </row>
    <row r="1029" spans="2:27" x14ac:dyDescent="0.25">
      <c r="B1029" s="174"/>
      <c r="C1029" s="174" t="str">
        <f>TEXT(data[[#This Row],[Fecha de Envío
Cotización]],"MMMM")</f>
        <v>marzo</v>
      </c>
      <c r="D1029" s="174">
        <v>44284</v>
      </c>
      <c r="E1029" s="174">
        <v>44286</v>
      </c>
      <c r="F1029" s="174">
        <v>44293</v>
      </c>
      <c r="G1029" s="109"/>
      <c r="H1029" s="174"/>
      <c r="I1029" s="86">
        <v>511749</v>
      </c>
      <c r="J1029" s="87">
        <v>20040</v>
      </c>
      <c r="K1029" s="24" t="s">
        <v>31</v>
      </c>
      <c r="L1029" s="106"/>
      <c r="M1029" s="108" t="s">
        <v>809</v>
      </c>
      <c r="N1029" s="106">
        <v>25</v>
      </c>
      <c r="O1029" s="107"/>
      <c r="P1029" s="27">
        <v>0.85</v>
      </c>
      <c r="Q1029" s="28">
        <f>data[[#This Row],[Costo Producto
Proveedor ($/Unid)]]*data[[#This Row],[Cantidad]]</f>
        <v>0</v>
      </c>
      <c r="R1029" s="121">
        <f>data[[#This Row],[Cantidad]]*data[[#This Row],[Precio de Venta Cliente ($/Unid)]]</f>
        <v>21.25</v>
      </c>
      <c r="S1029" s="29"/>
      <c r="T1029" s="106" t="s">
        <v>22</v>
      </c>
      <c r="U1029" s="106"/>
      <c r="V1029" s="30" t="s">
        <v>44</v>
      </c>
      <c r="W1029" s="32" t="s">
        <v>44</v>
      </c>
      <c r="X1029" s="106" t="s">
        <v>45</v>
      </c>
      <c r="Y1029" s="106" t="s">
        <v>47</v>
      </c>
      <c r="Z1029" s="106" t="s">
        <v>12</v>
      </c>
      <c r="AA1029" s="106"/>
    </row>
    <row r="1030" spans="2:27" x14ac:dyDescent="0.25">
      <c r="B1030" s="174"/>
      <c r="C1030" s="174" t="str">
        <f>TEXT(data[[#This Row],[Fecha de Envío
Cotización]],"MMMM")</f>
        <v>marzo</v>
      </c>
      <c r="D1030" s="174">
        <v>44284</v>
      </c>
      <c r="E1030" s="174" t="str">
        <f>IF(data[[#This Row],[Estatus de 
Cotización]]="PERDIDO","N/A","")</f>
        <v>N/A</v>
      </c>
      <c r="F1030" s="174"/>
      <c r="G1030" s="109"/>
      <c r="H1030" s="174"/>
      <c r="I1030" s="86">
        <v>511761</v>
      </c>
      <c r="J1030" s="87">
        <v>20040</v>
      </c>
      <c r="K1030" s="24" t="s">
        <v>31</v>
      </c>
      <c r="L1030" s="106"/>
      <c r="M1030" s="108" t="s">
        <v>821</v>
      </c>
      <c r="N1030" s="106">
        <v>1</v>
      </c>
      <c r="O1030" s="107"/>
      <c r="P1030" s="27">
        <v>243</v>
      </c>
      <c r="Q1030" s="28">
        <f>data[[#This Row],[Costo Producto
Proveedor ($/Unid)]]*data[[#This Row],[Cantidad]]</f>
        <v>0</v>
      </c>
      <c r="R1030" s="28">
        <f>data[[#This Row],[Cantidad]]*data[[#This Row],[Precio de Venta Cliente ($/Unid)]]</f>
        <v>243</v>
      </c>
      <c r="S1030" s="29"/>
      <c r="T1030" s="106" t="s">
        <v>77</v>
      </c>
      <c r="U1030" s="106"/>
      <c r="V1030" s="30" t="s">
        <v>42</v>
      </c>
      <c r="W1030" s="32" t="s">
        <v>42</v>
      </c>
      <c r="X1030" s="106" t="s">
        <v>23</v>
      </c>
      <c r="Y1030" s="106" t="s">
        <v>23</v>
      </c>
      <c r="Z1030" s="106" t="s">
        <v>12</v>
      </c>
      <c r="AA1030" s="106"/>
    </row>
    <row r="1031" spans="2:27" x14ac:dyDescent="0.25">
      <c r="B1031" s="174"/>
      <c r="C1031" s="174" t="str">
        <f>TEXT(data[[#This Row],[Fecha de Envío
Cotización]],"MMMM")</f>
        <v>marzo</v>
      </c>
      <c r="D1031" s="174">
        <v>44284</v>
      </c>
      <c r="E1031" s="130" t="str">
        <f>IF(data[[#This Row],[Estatus de 
Cotización]]="PERDIDO","N/A","")</f>
        <v>N/A</v>
      </c>
      <c r="F1031" s="174"/>
      <c r="G1031" s="109"/>
      <c r="H1031" s="174"/>
      <c r="I1031" s="86">
        <v>511750</v>
      </c>
      <c r="J1031" s="87">
        <v>20042</v>
      </c>
      <c r="K1031" s="24" t="s">
        <v>31</v>
      </c>
      <c r="L1031" s="106"/>
      <c r="M1031" s="108" t="s">
        <v>810</v>
      </c>
      <c r="N1031" s="106">
        <v>9</v>
      </c>
      <c r="O1031" s="107"/>
      <c r="P1031" s="27">
        <v>84</v>
      </c>
      <c r="Q1031" s="28">
        <f>data[[#This Row],[Costo Producto
Proveedor ($/Unid)]]*data[[#This Row],[Cantidad]]</f>
        <v>0</v>
      </c>
      <c r="R1031" s="28">
        <f>data[[#This Row],[Cantidad]]*data[[#This Row],[Precio de Venta Cliente ($/Unid)]]</f>
        <v>756</v>
      </c>
      <c r="S1031" s="29"/>
      <c r="T1031" s="106" t="s">
        <v>15</v>
      </c>
      <c r="U1031" s="106"/>
      <c r="V1031" s="30" t="s">
        <v>42</v>
      </c>
      <c r="W1031" s="174" t="s">
        <v>42</v>
      </c>
      <c r="X1031" s="106" t="s">
        <v>23</v>
      </c>
      <c r="Y1031" s="106" t="s">
        <v>23</v>
      </c>
      <c r="Z1031" s="106" t="s">
        <v>12</v>
      </c>
      <c r="AA1031" s="106"/>
    </row>
    <row r="1032" spans="2:27" x14ac:dyDescent="0.25">
      <c r="B1032" s="174"/>
      <c r="C1032" s="174" t="str">
        <f>TEXT(data[[#This Row],[Fecha de Envío
Cotización]],"MMMM")</f>
        <v>marzo</v>
      </c>
      <c r="D1032" s="174">
        <v>44284</v>
      </c>
      <c r="E1032" s="130" t="str">
        <f>IF(data[[#This Row],[Estatus de 
Cotización]]="PERDIDO","N/A","")</f>
        <v>N/A</v>
      </c>
      <c r="F1032" s="174"/>
      <c r="G1032" s="109"/>
      <c r="H1032" s="174"/>
      <c r="I1032" s="86">
        <v>511751</v>
      </c>
      <c r="J1032" s="87">
        <v>20042</v>
      </c>
      <c r="K1032" s="24" t="s">
        <v>31</v>
      </c>
      <c r="L1032" s="106"/>
      <c r="M1032" s="108" t="s">
        <v>811</v>
      </c>
      <c r="N1032" s="106">
        <v>14</v>
      </c>
      <c r="O1032" s="107"/>
      <c r="P1032" s="27">
        <v>93</v>
      </c>
      <c r="Q1032" s="28">
        <f>data[[#This Row],[Costo Producto
Proveedor ($/Unid)]]*data[[#This Row],[Cantidad]]</f>
        <v>0</v>
      </c>
      <c r="R1032" s="28">
        <f>data[[#This Row],[Cantidad]]*data[[#This Row],[Precio de Venta Cliente ($/Unid)]]</f>
        <v>1302</v>
      </c>
      <c r="S1032" s="29"/>
      <c r="T1032" s="106" t="s">
        <v>15</v>
      </c>
      <c r="U1032" s="106"/>
      <c r="V1032" s="30" t="s">
        <v>42</v>
      </c>
      <c r="W1032" s="174" t="s">
        <v>42</v>
      </c>
      <c r="X1032" s="106" t="s">
        <v>23</v>
      </c>
      <c r="Y1032" s="106" t="s">
        <v>23</v>
      </c>
      <c r="Z1032" s="106" t="s">
        <v>12</v>
      </c>
      <c r="AA1032" s="106"/>
    </row>
    <row r="1033" spans="2:27" x14ac:dyDescent="0.25">
      <c r="B1033" s="174"/>
      <c r="C1033" s="174" t="str">
        <f>TEXT(data[[#This Row],[Fecha de Envío
Cotización]],"MMMM")</f>
        <v>marzo</v>
      </c>
      <c r="D1033" s="174">
        <v>44284</v>
      </c>
      <c r="E1033" s="130" t="str">
        <f>IF(data[[#This Row],[Estatus de 
Cotización]]="PERDIDO","N/A","")</f>
        <v>N/A</v>
      </c>
      <c r="F1033" s="174"/>
      <c r="G1033" s="109"/>
      <c r="H1033" s="174"/>
      <c r="I1033" s="86">
        <v>511752</v>
      </c>
      <c r="J1033" s="87">
        <v>20042</v>
      </c>
      <c r="K1033" s="24" t="s">
        <v>31</v>
      </c>
      <c r="L1033" s="106"/>
      <c r="M1033" s="108" t="s">
        <v>812</v>
      </c>
      <c r="N1033" s="106">
        <v>3</v>
      </c>
      <c r="O1033" s="107"/>
      <c r="P1033" s="27">
        <v>240</v>
      </c>
      <c r="Q1033" s="28">
        <f>data[[#This Row],[Costo Producto
Proveedor ($/Unid)]]*data[[#This Row],[Cantidad]]</f>
        <v>0</v>
      </c>
      <c r="R1033" s="28">
        <f>data[[#This Row],[Cantidad]]*data[[#This Row],[Precio de Venta Cliente ($/Unid)]]</f>
        <v>720</v>
      </c>
      <c r="S1033" s="29"/>
      <c r="T1033" s="106" t="s">
        <v>15</v>
      </c>
      <c r="U1033" s="106"/>
      <c r="V1033" s="30" t="s">
        <v>42</v>
      </c>
      <c r="W1033" s="174" t="s">
        <v>42</v>
      </c>
      <c r="X1033" s="106" t="s">
        <v>23</v>
      </c>
      <c r="Y1033" s="106" t="s">
        <v>23</v>
      </c>
      <c r="Z1033" s="106" t="s">
        <v>12</v>
      </c>
      <c r="AA1033" s="106"/>
    </row>
    <row r="1034" spans="2:27" x14ac:dyDescent="0.25">
      <c r="B1034" s="174"/>
      <c r="C1034" s="174" t="str">
        <f>TEXT(data[[#This Row],[Fecha de Envío
Cotización]],"MMMM")</f>
        <v>marzo</v>
      </c>
      <c r="D1034" s="174">
        <v>44284</v>
      </c>
      <c r="E1034" s="130" t="str">
        <f>IF(data[[#This Row],[Estatus de 
Cotización]]="PERDIDO","N/A","")</f>
        <v>N/A</v>
      </c>
      <c r="F1034" s="174"/>
      <c r="G1034" s="109"/>
      <c r="H1034" s="174"/>
      <c r="I1034" s="86">
        <v>511753</v>
      </c>
      <c r="J1034" s="87">
        <v>20042</v>
      </c>
      <c r="K1034" s="24" t="s">
        <v>31</v>
      </c>
      <c r="L1034" s="106"/>
      <c r="M1034" s="108" t="s">
        <v>813</v>
      </c>
      <c r="N1034" s="106">
        <v>5</v>
      </c>
      <c r="O1034" s="107"/>
      <c r="P1034" s="27">
        <v>51</v>
      </c>
      <c r="Q1034" s="28">
        <f>data[[#This Row],[Costo Producto
Proveedor ($/Unid)]]*data[[#This Row],[Cantidad]]</f>
        <v>0</v>
      </c>
      <c r="R1034" s="28">
        <f>data[[#This Row],[Cantidad]]*data[[#This Row],[Precio de Venta Cliente ($/Unid)]]</f>
        <v>255</v>
      </c>
      <c r="S1034" s="29"/>
      <c r="T1034" s="106" t="s">
        <v>15</v>
      </c>
      <c r="U1034" s="106"/>
      <c r="V1034" s="30" t="s">
        <v>42</v>
      </c>
      <c r="W1034" s="174" t="s">
        <v>42</v>
      </c>
      <c r="X1034" s="106" t="s">
        <v>23</v>
      </c>
      <c r="Y1034" s="106" t="s">
        <v>23</v>
      </c>
      <c r="Z1034" s="106" t="s">
        <v>12</v>
      </c>
      <c r="AA1034" s="106"/>
    </row>
    <row r="1035" spans="2:27" x14ac:dyDescent="0.25">
      <c r="B1035" s="174"/>
      <c r="C1035" s="174" t="str">
        <f>TEXT(data[[#This Row],[Fecha de Envío
Cotización]],"MMMM")</f>
        <v>marzo</v>
      </c>
      <c r="D1035" s="174">
        <v>44284</v>
      </c>
      <c r="E1035" s="130" t="str">
        <f>IF(data[[#This Row],[Estatus de 
Cotización]]="PERDIDO","N/A","")</f>
        <v>N/A</v>
      </c>
      <c r="F1035" s="174"/>
      <c r="G1035" s="109"/>
      <c r="H1035" s="174"/>
      <c r="I1035" s="86">
        <v>511754</v>
      </c>
      <c r="J1035" s="87">
        <v>20042</v>
      </c>
      <c r="K1035" s="24" t="s">
        <v>31</v>
      </c>
      <c r="L1035" s="106"/>
      <c r="M1035" s="108" t="s">
        <v>814</v>
      </c>
      <c r="N1035" s="106">
        <v>4</v>
      </c>
      <c r="O1035" s="107"/>
      <c r="P1035" s="27">
        <v>110</v>
      </c>
      <c r="Q1035" s="28">
        <f>data[[#This Row],[Costo Producto
Proveedor ($/Unid)]]*data[[#This Row],[Cantidad]]</f>
        <v>0</v>
      </c>
      <c r="R1035" s="28">
        <f>data[[#This Row],[Cantidad]]*data[[#This Row],[Precio de Venta Cliente ($/Unid)]]</f>
        <v>440</v>
      </c>
      <c r="S1035" s="29"/>
      <c r="T1035" s="106" t="s">
        <v>15</v>
      </c>
      <c r="U1035" s="106"/>
      <c r="V1035" s="30" t="s">
        <v>42</v>
      </c>
      <c r="W1035" s="174" t="s">
        <v>42</v>
      </c>
      <c r="X1035" s="106" t="s">
        <v>23</v>
      </c>
      <c r="Y1035" s="106" t="s">
        <v>23</v>
      </c>
      <c r="Z1035" s="106" t="s">
        <v>12</v>
      </c>
      <c r="AA1035" s="106"/>
    </row>
    <row r="1036" spans="2:27" x14ac:dyDescent="0.25">
      <c r="B1036" s="174"/>
      <c r="C1036" s="174" t="str">
        <f>TEXT(data[[#This Row],[Fecha de Envío
Cotización]],"MMMM")</f>
        <v>marzo</v>
      </c>
      <c r="D1036" s="174">
        <v>44284</v>
      </c>
      <c r="E1036" s="130" t="str">
        <f>IF(data[[#This Row],[Estatus de 
Cotización]]="PERDIDO","N/A","")</f>
        <v>N/A</v>
      </c>
      <c r="F1036" s="174"/>
      <c r="G1036" s="109"/>
      <c r="H1036" s="174"/>
      <c r="I1036" s="86">
        <v>511755</v>
      </c>
      <c r="J1036" s="87">
        <v>20042</v>
      </c>
      <c r="K1036" s="24" t="s">
        <v>31</v>
      </c>
      <c r="L1036" s="106"/>
      <c r="M1036" s="108" t="s">
        <v>815</v>
      </c>
      <c r="N1036" s="106">
        <v>3</v>
      </c>
      <c r="O1036" s="107"/>
      <c r="P1036" s="27">
        <v>69</v>
      </c>
      <c r="Q1036" s="28">
        <f>data[[#This Row],[Costo Producto
Proveedor ($/Unid)]]*data[[#This Row],[Cantidad]]</f>
        <v>0</v>
      </c>
      <c r="R1036" s="28">
        <f>data[[#This Row],[Cantidad]]*data[[#This Row],[Precio de Venta Cliente ($/Unid)]]</f>
        <v>207</v>
      </c>
      <c r="S1036" s="29"/>
      <c r="T1036" s="106" t="s">
        <v>15</v>
      </c>
      <c r="U1036" s="106"/>
      <c r="V1036" s="30" t="s">
        <v>42</v>
      </c>
      <c r="W1036" s="174" t="s">
        <v>42</v>
      </c>
      <c r="X1036" s="106" t="s">
        <v>23</v>
      </c>
      <c r="Y1036" s="106" t="s">
        <v>23</v>
      </c>
      <c r="Z1036" s="106" t="s">
        <v>12</v>
      </c>
      <c r="AA1036" s="106"/>
    </row>
    <row r="1037" spans="2:27" x14ac:dyDescent="0.25">
      <c r="B1037" s="174"/>
      <c r="C1037" s="174" t="str">
        <f>TEXT(data[[#This Row],[Fecha de Envío
Cotización]],"MMMM")</f>
        <v>marzo</v>
      </c>
      <c r="D1037" s="174">
        <v>44284</v>
      </c>
      <c r="E1037" s="130" t="str">
        <f>IF(data[[#This Row],[Estatus de 
Cotización]]="PERDIDO","N/A","")</f>
        <v>N/A</v>
      </c>
      <c r="F1037" s="174"/>
      <c r="G1037" s="109"/>
      <c r="H1037" s="174"/>
      <c r="I1037" s="86">
        <v>511756</v>
      </c>
      <c r="J1037" s="87">
        <v>20042</v>
      </c>
      <c r="K1037" s="24" t="s">
        <v>31</v>
      </c>
      <c r="L1037" s="106"/>
      <c r="M1037" s="108" t="s">
        <v>816</v>
      </c>
      <c r="N1037" s="106">
        <v>4</v>
      </c>
      <c r="O1037" s="107"/>
      <c r="P1037" s="27">
        <v>87</v>
      </c>
      <c r="Q1037" s="28">
        <f>data[[#This Row],[Costo Producto
Proveedor ($/Unid)]]*data[[#This Row],[Cantidad]]</f>
        <v>0</v>
      </c>
      <c r="R1037" s="28">
        <f>data[[#This Row],[Cantidad]]*data[[#This Row],[Precio de Venta Cliente ($/Unid)]]</f>
        <v>348</v>
      </c>
      <c r="S1037" s="29"/>
      <c r="T1037" s="106" t="s">
        <v>15</v>
      </c>
      <c r="U1037" s="106"/>
      <c r="V1037" s="30" t="s">
        <v>42</v>
      </c>
      <c r="W1037" s="174" t="s">
        <v>42</v>
      </c>
      <c r="X1037" s="106" t="s">
        <v>23</v>
      </c>
      <c r="Y1037" s="106" t="s">
        <v>23</v>
      </c>
      <c r="Z1037" s="106" t="s">
        <v>12</v>
      </c>
      <c r="AA1037" s="106"/>
    </row>
    <row r="1038" spans="2:27" x14ac:dyDescent="0.25">
      <c r="B1038" s="174"/>
      <c r="C1038" s="174" t="str">
        <f>TEXT(data[[#This Row],[Fecha de Envío
Cotización]],"MMMM")</f>
        <v>marzo</v>
      </c>
      <c r="D1038" s="174">
        <v>44284</v>
      </c>
      <c r="E1038" s="130" t="str">
        <f>IF(data[[#This Row],[Estatus de 
Cotización]]="PERDIDO","N/A","")</f>
        <v>N/A</v>
      </c>
      <c r="F1038" s="174"/>
      <c r="G1038" s="109"/>
      <c r="H1038" s="174"/>
      <c r="I1038" s="86">
        <v>511757</v>
      </c>
      <c r="J1038" s="87">
        <v>20042</v>
      </c>
      <c r="K1038" s="24" t="s">
        <v>31</v>
      </c>
      <c r="L1038" s="106"/>
      <c r="M1038" s="108" t="s">
        <v>817</v>
      </c>
      <c r="N1038" s="106">
        <v>3</v>
      </c>
      <c r="O1038" s="107"/>
      <c r="P1038" s="27">
        <v>110</v>
      </c>
      <c r="Q1038" s="28">
        <f>data[[#This Row],[Costo Producto
Proveedor ($/Unid)]]*data[[#This Row],[Cantidad]]</f>
        <v>0</v>
      </c>
      <c r="R1038" s="28">
        <f>data[[#This Row],[Cantidad]]*data[[#This Row],[Precio de Venta Cliente ($/Unid)]]</f>
        <v>330</v>
      </c>
      <c r="S1038" s="29"/>
      <c r="T1038" s="106" t="s">
        <v>15</v>
      </c>
      <c r="U1038" s="106"/>
      <c r="V1038" s="30" t="s">
        <v>42</v>
      </c>
      <c r="W1038" s="174" t="s">
        <v>42</v>
      </c>
      <c r="X1038" s="106" t="s">
        <v>23</v>
      </c>
      <c r="Y1038" s="106" t="s">
        <v>23</v>
      </c>
      <c r="Z1038" s="106" t="s">
        <v>12</v>
      </c>
      <c r="AA1038" s="106"/>
    </row>
    <row r="1039" spans="2:27" x14ac:dyDescent="0.25">
      <c r="B1039" s="174"/>
      <c r="C1039" s="174" t="str">
        <f>TEXT(data[[#This Row],[Fecha de Envío
Cotización]],"MMMM")</f>
        <v>marzo</v>
      </c>
      <c r="D1039" s="174">
        <v>44284</v>
      </c>
      <c r="E1039" s="130" t="str">
        <f>IF(data[[#This Row],[Estatus de 
Cotización]]="PERDIDO","N/A","")</f>
        <v>N/A</v>
      </c>
      <c r="F1039" s="174"/>
      <c r="G1039" s="109"/>
      <c r="H1039" s="174"/>
      <c r="I1039" s="86">
        <v>511758</v>
      </c>
      <c r="J1039" s="87">
        <v>20042</v>
      </c>
      <c r="K1039" s="24" t="s">
        <v>31</v>
      </c>
      <c r="L1039" s="106"/>
      <c r="M1039" s="108" t="s">
        <v>818</v>
      </c>
      <c r="N1039" s="106">
        <v>3</v>
      </c>
      <c r="O1039" s="107"/>
      <c r="P1039" s="27">
        <v>68</v>
      </c>
      <c r="Q1039" s="28">
        <f>data[[#This Row],[Costo Producto
Proveedor ($/Unid)]]*data[[#This Row],[Cantidad]]</f>
        <v>0</v>
      </c>
      <c r="R1039" s="28">
        <f>data[[#This Row],[Cantidad]]*data[[#This Row],[Precio de Venta Cliente ($/Unid)]]</f>
        <v>204</v>
      </c>
      <c r="S1039" s="29"/>
      <c r="T1039" s="106" t="s">
        <v>15</v>
      </c>
      <c r="U1039" s="106"/>
      <c r="V1039" s="30" t="s">
        <v>42</v>
      </c>
      <c r="W1039" s="174" t="s">
        <v>42</v>
      </c>
      <c r="X1039" s="106" t="s">
        <v>23</v>
      </c>
      <c r="Y1039" s="106" t="s">
        <v>23</v>
      </c>
      <c r="Z1039" s="106" t="s">
        <v>12</v>
      </c>
      <c r="AA1039" s="106"/>
    </row>
    <row r="1040" spans="2:27" x14ac:dyDescent="0.25">
      <c r="B1040" s="174"/>
      <c r="C1040" s="174" t="str">
        <f>TEXT(data[[#This Row],[Fecha de Envío
Cotización]],"MMMM")</f>
        <v>marzo</v>
      </c>
      <c r="D1040" s="174">
        <v>44284</v>
      </c>
      <c r="E1040" s="130" t="str">
        <f>IF(data[[#This Row],[Estatus de 
Cotización]]="PERDIDO","N/A","")</f>
        <v>N/A</v>
      </c>
      <c r="F1040" s="174"/>
      <c r="G1040" s="109"/>
      <c r="H1040" s="174"/>
      <c r="I1040" s="86">
        <v>511759</v>
      </c>
      <c r="J1040" s="87">
        <v>20042</v>
      </c>
      <c r="K1040" s="24" t="s">
        <v>31</v>
      </c>
      <c r="L1040" s="106"/>
      <c r="M1040" s="108" t="s">
        <v>819</v>
      </c>
      <c r="N1040" s="106">
        <v>3</v>
      </c>
      <c r="O1040" s="107"/>
      <c r="P1040" s="27">
        <v>98</v>
      </c>
      <c r="Q1040" s="28">
        <f>data[[#This Row],[Costo Producto
Proveedor ($/Unid)]]*data[[#This Row],[Cantidad]]</f>
        <v>0</v>
      </c>
      <c r="R1040" s="28">
        <f>data[[#This Row],[Cantidad]]*data[[#This Row],[Precio de Venta Cliente ($/Unid)]]</f>
        <v>294</v>
      </c>
      <c r="S1040" s="29"/>
      <c r="T1040" s="106" t="s">
        <v>15</v>
      </c>
      <c r="U1040" s="106"/>
      <c r="V1040" s="30" t="s">
        <v>42</v>
      </c>
      <c r="W1040" s="174" t="s">
        <v>42</v>
      </c>
      <c r="X1040" s="106" t="s">
        <v>23</v>
      </c>
      <c r="Y1040" s="106" t="s">
        <v>23</v>
      </c>
      <c r="Z1040" s="106" t="s">
        <v>12</v>
      </c>
      <c r="AA1040" s="106"/>
    </row>
    <row r="1041" spans="2:27" x14ac:dyDescent="0.25">
      <c r="B1041" s="174"/>
      <c r="C1041" s="174" t="str">
        <f>TEXT(data[[#This Row],[Fecha de Envío
Cotización]],"MMMM")</f>
        <v>marzo</v>
      </c>
      <c r="D1041" s="174">
        <v>44284</v>
      </c>
      <c r="E1041" s="130" t="str">
        <f>IF(data[[#This Row],[Estatus de 
Cotización]]="PERDIDO","N/A","")</f>
        <v>N/A</v>
      </c>
      <c r="F1041" s="174"/>
      <c r="G1041" s="109"/>
      <c r="H1041" s="174"/>
      <c r="I1041" s="86">
        <v>511760</v>
      </c>
      <c r="J1041" s="87">
        <v>20042</v>
      </c>
      <c r="K1041" s="24" t="s">
        <v>31</v>
      </c>
      <c r="L1041" s="106"/>
      <c r="M1041" s="108" t="s">
        <v>820</v>
      </c>
      <c r="N1041" s="106">
        <v>6</v>
      </c>
      <c r="O1041" s="107"/>
      <c r="P1041" s="27">
        <v>35</v>
      </c>
      <c r="Q1041" s="28">
        <f>data[[#This Row],[Costo Producto
Proveedor ($/Unid)]]*data[[#This Row],[Cantidad]]</f>
        <v>0</v>
      </c>
      <c r="R1041" s="28">
        <f>data[[#This Row],[Cantidad]]*data[[#This Row],[Precio de Venta Cliente ($/Unid)]]</f>
        <v>210</v>
      </c>
      <c r="S1041" s="29"/>
      <c r="T1041" s="106" t="s">
        <v>15</v>
      </c>
      <c r="U1041" s="106"/>
      <c r="V1041" s="30" t="s">
        <v>42</v>
      </c>
      <c r="W1041" s="174" t="s">
        <v>42</v>
      </c>
      <c r="X1041" s="106" t="s">
        <v>23</v>
      </c>
      <c r="Y1041" s="106" t="s">
        <v>23</v>
      </c>
      <c r="Z1041" s="106" t="s">
        <v>12</v>
      </c>
      <c r="AA1041" s="106"/>
    </row>
    <row r="1042" spans="2:27" x14ac:dyDescent="0.25">
      <c r="B1042" s="174"/>
      <c r="C1042" s="174" t="str">
        <f>TEXT(data[[#This Row],[Fecha de Envío
Cotización]],"MMMM")</f>
        <v>abril</v>
      </c>
      <c r="D1042" s="174">
        <v>44292</v>
      </c>
      <c r="E1042" s="174">
        <v>44292</v>
      </c>
      <c r="F1042" s="174">
        <v>44294</v>
      </c>
      <c r="G1042" s="109"/>
      <c r="H1042" s="174">
        <v>44292</v>
      </c>
      <c r="I1042" s="86">
        <v>511784</v>
      </c>
      <c r="J1042" s="87">
        <v>20046</v>
      </c>
      <c r="K1042" s="24" t="s">
        <v>14</v>
      </c>
      <c r="L1042" s="106"/>
      <c r="M1042" s="108" t="s">
        <v>822</v>
      </c>
      <c r="N1042" s="106">
        <v>2</v>
      </c>
      <c r="O1042" s="107"/>
      <c r="P1042" s="27">
        <v>210</v>
      </c>
      <c r="Q1042" s="28">
        <f>data[[#This Row],[Costo Producto
Proveedor ($/Unid)]]*data[[#This Row],[Cantidad]]</f>
        <v>0</v>
      </c>
      <c r="R1042" s="121">
        <f>data[[#This Row],[Cantidad]]*data[[#This Row],[Precio de Venta Cliente ($/Unid)]]</f>
        <v>420</v>
      </c>
      <c r="S1042" s="29"/>
      <c r="T1042" s="106" t="s">
        <v>22</v>
      </c>
      <c r="U1042" s="106"/>
      <c r="V1042" s="30" t="s">
        <v>44</v>
      </c>
      <c r="W1042" s="32" t="s">
        <v>44</v>
      </c>
      <c r="X1042" s="106" t="s">
        <v>45</v>
      </c>
      <c r="Y1042" s="106" t="s">
        <v>47</v>
      </c>
      <c r="Z1042" s="106" t="s">
        <v>12</v>
      </c>
      <c r="AA1042" s="106" t="s">
        <v>1120</v>
      </c>
    </row>
    <row r="1043" spans="2:27" x14ac:dyDescent="0.25">
      <c r="B1043" s="174"/>
      <c r="C1043" s="174" t="str">
        <f>TEXT(data[[#This Row],[Fecha de Envío
Cotización]],"MMMM")</f>
        <v>abril</v>
      </c>
      <c r="D1043" s="174">
        <v>44292</v>
      </c>
      <c r="E1043" s="174" t="str">
        <f>IF(data[[#This Row],[Estatus de 
Cotización]]="PERDIDO","N/A","")</f>
        <v>N/A</v>
      </c>
      <c r="F1043" s="174"/>
      <c r="G1043" s="109"/>
      <c r="H1043" s="174"/>
      <c r="I1043" s="86">
        <v>511785</v>
      </c>
      <c r="J1043" s="87">
        <v>20046</v>
      </c>
      <c r="K1043" s="24" t="s">
        <v>14</v>
      </c>
      <c r="L1043" s="106"/>
      <c r="M1043" s="108" t="s">
        <v>823</v>
      </c>
      <c r="N1043" s="106">
        <v>1</v>
      </c>
      <c r="O1043" s="107"/>
      <c r="P1043" s="27">
        <v>1073</v>
      </c>
      <c r="Q1043" s="28">
        <f>data[[#This Row],[Costo Producto
Proveedor ($/Unid)]]*data[[#This Row],[Cantidad]]</f>
        <v>0</v>
      </c>
      <c r="R1043" s="28">
        <f>data[[#This Row],[Cantidad]]*data[[#This Row],[Precio de Venta Cliente ($/Unid)]]</f>
        <v>1073</v>
      </c>
      <c r="S1043" s="29"/>
      <c r="T1043" s="106" t="s">
        <v>22</v>
      </c>
      <c r="U1043" s="106"/>
      <c r="V1043" s="30" t="s">
        <v>42</v>
      </c>
      <c r="W1043" s="32" t="s">
        <v>42</v>
      </c>
      <c r="X1043" s="106" t="s">
        <v>23</v>
      </c>
      <c r="Y1043" s="106" t="s">
        <v>23</v>
      </c>
      <c r="Z1043" s="106" t="s">
        <v>12</v>
      </c>
      <c r="AA1043" s="106"/>
    </row>
    <row r="1044" spans="2:27" x14ac:dyDescent="0.25">
      <c r="B1044" s="174"/>
      <c r="C1044" s="174" t="str">
        <f>TEXT(data[[#This Row],[Fecha de Envío
Cotización]],"MMMM")</f>
        <v>abril</v>
      </c>
      <c r="D1044" s="174">
        <v>44292</v>
      </c>
      <c r="E1044" s="174" t="str">
        <f>IF(data[[#This Row],[Estatus de 
Cotización]]="PERDIDO","N/A","")</f>
        <v>N/A</v>
      </c>
      <c r="F1044" s="174"/>
      <c r="G1044" s="109"/>
      <c r="H1044" s="174"/>
      <c r="I1044" s="86">
        <v>511786</v>
      </c>
      <c r="J1044" s="87">
        <v>20046</v>
      </c>
      <c r="K1044" s="24" t="s">
        <v>14</v>
      </c>
      <c r="L1044" s="106"/>
      <c r="M1044" s="108" t="s">
        <v>824</v>
      </c>
      <c r="N1044" s="106">
        <v>1</v>
      </c>
      <c r="O1044" s="107"/>
      <c r="P1044" s="27">
        <v>652</v>
      </c>
      <c r="Q1044" s="28">
        <f>data[[#This Row],[Costo Producto
Proveedor ($/Unid)]]*data[[#This Row],[Cantidad]]</f>
        <v>0</v>
      </c>
      <c r="R1044" s="28">
        <f>data[[#This Row],[Cantidad]]*data[[#This Row],[Precio de Venta Cliente ($/Unid)]]</f>
        <v>652</v>
      </c>
      <c r="S1044" s="29"/>
      <c r="T1044" s="106" t="s">
        <v>22</v>
      </c>
      <c r="U1044" s="106"/>
      <c r="V1044" s="30" t="s">
        <v>42</v>
      </c>
      <c r="W1044" s="32" t="s">
        <v>42</v>
      </c>
      <c r="X1044" s="106" t="s">
        <v>23</v>
      </c>
      <c r="Y1044" s="106" t="s">
        <v>23</v>
      </c>
      <c r="Z1044" s="106" t="s">
        <v>12</v>
      </c>
      <c r="AA1044" s="106"/>
    </row>
    <row r="1045" spans="2:27" x14ac:dyDescent="0.25">
      <c r="B1045" s="174"/>
      <c r="C1045" s="174" t="str">
        <f>TEXT(data[[#This Row],[Fecha de Envío
Cotización]],"MMMM")</f>
        <v>abril</v>
      </c>
      <c r="D1045" s="174">
        <v>44292</v>
      </c>
      <c r="E1045" s="130" t="str">
        <f>IF(data[[#This Row],[Estatus de 
Cotización]]="PERDIDO","N/A","")</f>
        <v>N/A</v>
      </c>
      <c r="F1045" s="174"/>
      <c r="G1045" s="109"/>
      <c r="H1045" s="174"/>
      <c r="I1045" s="86">
        <v>511787</v>
      </c>
      <c r="J1045" s="87">
        <v>20049</v>
      </c>
      <c r="K1045" s="24" t="s">
        <v>31</v>
      </c>
      <c r="L1045" s="106"/>
      <c r="M1045" s="108" t="s">
        <v>825</v>
      </c>
      <c r="N1045" s="106">
        <v>1</v>
      </c>
      <c r="O1045" s="107"/>
      <c r="P1045" s="27">
        <v>56</v>
      </c>
      <c r="Q1045" s="28">
        <f>data[[#This Row],[Costo Producto
Proveedor ($/Unid)]]*data[[#This Row],[Cantidad]]</f>
        <v>0</v>
      </c>
      <c r="R1045" s="28">
        <f>data[[#This Row],[Cantidad]]*data[[#This Row],[Precio de Venta Cliente ($/Unid)]]</f>
        <v>56</v>
      </c>
      <c r="S1045" s="29"/>
      <c r="T1045" s="106" t="s">
        <v>22</v>
      </c>
      <c r="U1045" s="106"/>
      <c r="V1045" s="30" t="s">
        <v>42</v>
      </c>
      <c r="W1045" s="32" t="s">
        <v>42</v>
      </c>
      <c r="X1045" s="106" t="s">
        <v>23</v>
      </c>
      <c r="Y1045" s="106" t="s">
        <v>23</v>
      </c>
      <c r="Z1045" s="106" t="s">
        <v>12</v>
      </c>
      <c r="AA1045" s="106" t="s">
        <v>1970</v>
      </c>
    </row>
    <row r="1046" spans="2:27" x14ac:dyDescent="0.25">
      <c r="B1046" s="174"/>
      <c r="C1046" s="174" t="str">
        <f>TEXT(data[[#This Row],[Fecha de Envío
Cotización]],"MMMM")</f>
        <v>abril</v>
      </c>
      <c r="D1046" s="174">
        <v>44293</v>
      </c>
      <c r="E1046" s="130" t="str">
        <f>IF(data[[#This Row],[Estatus de 
Cotización]]="PERDIDO","N/A","")</f>
        <v>N/A</v>
      </c>
      <c r="F1046" s="174"/>
      <c r="G1046" s="109"/>
      <c r="H1046" s="174"/>
      <c r="I1046" s="86">
        <v>511804</v>
      </c>
      <c r="J1046" s="87">
        <v>20049</v>
      </c>
      <c r="K1046" s="24" t="s">
        <v>113</v>
      </c>
      <c r="L1046" s="106"/>
      <c r="M1046" s="108" t="s">
        <v>826</v>
      </c>
      <c r="N1046" s="106">
        <v>2</v>
      </c>
      <c r="O1046" s="107"/>
      <c r="P1046" s="27">
        <v>744</v>
      </c>
      <c r="Q1046" s="28">
        <f>data[[#This Row],[Costo Producto
Proveedor ($/Unid)]]*data[[#This Row],[Cantidad]]</f>
        <v>0</v>
      </c>
      <c r="R1046" s="28">
        <f>data[[#This Row],[Cantidad]]*data[[#This Row],[Precio de Venta Cliente ($/Unid)]]</f>
        <v>1488</v>
      </c>
      <c r="S1046" s="29"/>
      <c r="T1046" s="106" t="s">
        <v>15</v>
      </c>
      <c r="U1046" s="106"/>
      <c r="V1046" s="30" t="s">
        <v>42</v>
      </c>
      <c r="W1046" s="32" t="s">
        <v>42</v>
      </c>
      <c r="X1046" s="106" t="s">
        <v>23</v>
      </c>
      <c r="Y1046" s="106" t="s">
        <v>23</v>
      </c>
      <c r="Z1046" s="106" t="s">
        <v>12</v>
      </c>
      <c r="AA1046" s="106"/>
    </row>
    <row r="1047" spans="2:27" x14ac:dyDescent="0.25">
      <c r="B1047" s="174"/>
      <c r="C1047" s="174" t="str">
        <f>TEXT(data[[#This Row],[Fecha de Envío
Cotización]],"MMMM")</f>
        <v>abril</v>
      </c>
      <c r="D1047" s="174">
        <v>44293</v>
      </c>
      <c r="E1047" s="130" t="str">
        <f>IF(data[[#This Row],[Estatus de 
Cotización]]="PERDIDO","N/A","")</f>
        <v>N/A</v>
      </c>
      <c r="F1047" s="174"/>
      <c r="G1047" s="109"/>
      <c r="H1047" s="174"/>
      <c r="I1047" s="86">
        <v>511805</v>
      </c>
      <c r="J1047" s="87">
        <v>20049</v>
      </c>
      <c r="K1047" s="24" t="s">
        <v>113</v>
      </c>
      <c r="L1047" s="106"/>
      <c r="M1047" s="108" t="s">
        <v>827</v>
      </c>
      <c r="N1047" s="106">
        <v>2</v>
      </c>
      <c r="O1047" s="107"/>
      <c r="P1047" s="27">
        <v>609</v>
      </c>
      <c r="Q1047" s="28">
        <f>data[[#This Row],[Costo Producto
Proveedor ($/Unid)]]*data[[#This Row],[Cantidad]]</f>
        <v>0</v>
      </c>
      <c r="R1047" s="28">
        <f>data[[#This Row],[Cantidad]]*data[[#This Row],[Precio de Venta Cliente ($/Unid)]]</f>
        <v>1218</v>
      </c>
      <c r="S1047" s="29"/>
      <c r="T1047" s="106" t="s">
        <v>15</v>
      </c>
      <c r="U1047" s="106"/>
      <c r="V1047" s="30" t="s">
        <v>42</v>
      </c>
      <c r="W1047" s="32" t="s">
        <v>42</v>
      </c>
      <c r="X1047" s="106" t="s">
        <v>23</v>
      </c>
      <c r="Y1047" s="106" t="s">
        <v>23</v>
      </c>
      <c r="Z1047" s="106" t="s">
        <v>12</v>
      </c>
      <c r="AA1047" s="106"/>
    </row>
    <row r="1048" spans="2:27" x14ac:dyDescent="0.25">
      <c r="B1048" s="174"/>
      <c r="C1048" s="174" t="str">
        <f>TEXT(data[[#This Row],[Fecha de Envío
Cotización]],"MMMM")</f>
        <v>abril</v>
      </c>
      <c r="D1048" s="174">
        <v>44298</v>
      </c>
      <c r="E1048" s="174" t="str">
        <f>IF(data[[#This Row],[Estatus de 
Cotización]]="PERDIDO","N/A","")</f>
        <v>N/A</v>
      </c>
      <c r="F1048" s="174"/>
      <c r="G1048" s="109"/>
      <c r="H1048" s="174"/>
      <c r="I1048" s="86">
        <v>511829</v>
      </c>
      <c r="J1048" s="87">
        <v>20051</v>
      </c>
      <c r="K1048" s="24" t="s">
        <v>31</v>
      </c>
      <c r="L1048" s="106"/>
      <c r="M1048" s="108" t="s">
        <v>828</v>
      </c>
      <c r="N1048" s="106">
        <v>10</v>
      </c>
      <c r="O1048" s="107"/>
      <c r="P1048" s="27">
        <v>11</v>
      </c>
      <c r="Q1048" s="28">
        <f>data[[#This Row],[Costo Producto
Proveedor ($/Unid)]]*data[[#This Row],[Cantidad]]</f>
        <v>0</v>
      </c>
      <c r="R1048" s="28">
        <f>data[[#This Row],[Cantidad]]*data[[#This Row],[Precio de Venta Cliente ($/Unid)]]</f>
        <v>110</v>
      </c>
      <c r="S1048" s="29"/>
      <c r="T1048" s="106" t="s">
        <v>16</v>
      </c>
      <c r="U1048" s="106"/>
      <c r="V1048" s="30" t="s">
        <v>42</v>
      </c>
      <c r="W1048" s="32" t="s">
        <v>42</v>
      </c>
      <c r="X1048" s="106" t="s">
        <v>23</v>
      </c>
      <c r="Y1048" s="106" t="s">
        <v>23</v>
      </c>
      <c r="Z1048" s="106" t="s">
        <v>12</v>
      </c>
      <c r="AA1048" s="106"/>
    </row>
    <row r="1049" spans="2:27" x14ac:dyDescent="0.25">
      <c r="B1049" s="174"/>
      <c r="C1049" s="174" t="str">
        <f>TEXT(data[[#This Row],[Fecha de Envío
Cotización]],"MMMM")</f>
        <v>abril</v>
      </c>
      <c r="D1049" s="174">
        <v>44298</v>
      </c>
      <c r="E1049" s="174" t="str">
        <f>IF(data[[#This Row],[Estatus de 
Cotización]]="PERDIDO","N/A","")</f>
        <v>N/A</v>
      </c>
      <c r="F1049" s="174"/>
      <c r="G1049" s="109"/>
      <c r="H1049" s="174"/>
      <c r="I1049" s="86">
        <v>511830</v>
      </c>
      <c r="J1049" s="87">
        <v>20052</v>
      </c>
      <c r="K1049" s="24" t="s">
        <v>58</v>
      </c>
      <c r="L1049" s="106"/>
      <c r="M1049" s="8" t="s">
        <v>829</v>
      </c>
      <c r="N1049" s="106">
        <v>1</v>
      </c>
      <c r="O1049" s="107"/>
      <c r="P1049" s="27">
        <v>372</v>
      </c>
      <c r="Q1049" s="28">
        <f>data[[#This Row],[Costo Producto
Proveedor ($/Unid)]]*data[[#This Row],[Cantidad]]</f>
        <v>0</v>
      </c>
      <c r="R1049" s="28">
        <f>data[[#This Row],[Cantidad]]*data[[#This Row],[Precio de Venta Cliente ($/Unid)]]</f>
        <v>372</v>
      </c>
      <c r="S1049" s="29"/>
      <c r="T1049" s="106" t="s">
        <v>22</v>
      </c>
      <c r="U1049" s="106"/>
      <c r="V1049" s="30" t="s">
        <v>42</v>
      </c>
      <c r="W1049" s="32" t="s">
        <v>42</v>
      </c>
      <c r="X1049" s="106" t="s">
        <v>23</v>
      </c>
      <c r="Y1049" s="106" t="s">
        <v>23</v>
      </c>
      <c r="Z1049" s="106" t="s">
        <v>12</v>
      </c>
      <c r="AA1049" s="106"/>
    </row>
    <row r="1050" spans="2:27" x14ac:dyDescent="0.25">
      <c r="B1050" s="174"/>
      <c r="C1050" s="174" t="str">
        <f>TEXT(data[[#This Row],[Fecha de Envío
Cotización]],"MMMM")</f>
        <v>abril</v>
      </c>
      <c r="D1050" s="174">
        <v>44300</v>
      </c>
      <c r="E1050" s="174">
        <v>44300</v>
      </c>
      <c r="F1050" s="174">
        <v>44301</v>
      </c>
      <c r="G1050" s="109"/>
      <c r="H1050" s="174">
        <v>44300</v>
      </c>
      <c r="I1050" s="86">
        <v>511865</v>
      </c>
      <c r="J1050" s="87">
        <v>20053</v>
      </c>
      <c r="K1050" s="24" t="s">
        <v>14</v>
      </c>
      <c r="L1050" s="106"/>
      <c r="M1050" s="108" t="s">
        <v>830</v>
      </c>
      <c r="N1050" s="106">
        <v>6</v>
      </c>
      <c r="O1050" s="107"/>
      <c r="P1050" s="27">
        <v>83.5</v>
      </c>
      <c r="Q1050" s="28">
        <f>data[[#This Row],[Costo Producto
Proveedor ($/Unid)]]*data[[#This Row],[Cantidad]]</f>
        <v>0</v>
      </c>
      <c r="R1050" s="120">
        <f>data[[#This Row],[Cantidad]]*data[[#This Row],[Precio de Venta Cliente ($/Unid)]]</f>
        <v>501</v>
      </c>
      <c r="S1050" s="29"/>
      <c r="T1050" s="106" t="s">
        <v>22</v>
      </c>
      <c r="U1050" s="106"/>
      <c r="V1050" s="30" t="s">
        <v>44</v>
      </c>
      <c r="W1050" s="32" t="s">
        <v>44</v>
      </c>
      <c r="X1050" s="106" t="s">
        <v>45</v>
      </c>
      <c r="Y1050" s="106" t="s">
        <v>47</v>
      </c>
      <c r="Z1050" s="106" t="s">
        <v>12</v>
      </c>
      <c r="AA1050" s="106"/>
    </row>
    <row r="1051" spans="2:27" x14ac:dyDescent="0.25">
      <c r="B1051" s="174"/>
      <c r="C1051" s="174" t="str">
        <f>TEXT(data[[#This Row],[Fecha de Envío
Cotización]],"MMMM")</f>
        <v>abril</v>
      </c>
      <c r="D1051" s="174">
        <v>44300</v>
      </c>
      <c r="E1051" s="174" t="str">
        <f>IF(data[[#This Row],[Estatus de 
Cotización]]="PERDIDO","N/A","")</f>
        <v>N/A</v>
      </c>
      <c r="F1051" s="174"/>
      <c r="G1051" s="109"/>
      <c r="H1051" s="174"/>
      <c r="I1051" s="86">
        <v>511863</v>
      </c>
      <c r="J1051" s="87">
        <v>36705</v>
      </c>
      <c r="K1051" s="24" t="s">
        <v>130</v>
      </c>
      <c r="L1051" s="106"/>
      <c r="M1051" s="108" t="s">
        <v>650</v>
      </c>
      <c r="N1051" s="106">
        <v>12</v>
      </c>
      <c r="O1051" s="107"/>
      <c r="P1051" s="27">
        <v>214</v>
      </c>
      <c r="Q1051" s="28">
        <f>data[[#This Row],[Costo Producto
Proveedor ($/Unid)]]*data[[#This Row],[Cantidad]]</f>
        <v>0</v>
      </c>
      <c r="R1051" s="28">
        <f>data[[#This Row],[Cantidad]]*data[[#This Row],[Precio de Venta Cliente ($/Unid)]]</f>
        <v>2568</v>
      </c>
      <c r="S1051" s="29"/>
      <c r="T1051" s="106" t="s">
        <v>16</v>
      </c>
      <c r="U1051" s="106"/>
      <c r="V1051" s="30" t="s">
        <v>42</v>
      </c>
      <c r="W1051" s="32" t="s">
        <v>42</v>
      </c>
      <c r="X1051" s="106" t="s">
        <v>23</v>
      </c>
      <c r="Y1051" s="106" t="s">
        <v>23</v>
      </c>
      <c r="Z1051" s="106" t="s">
        <v>12</v>
      </c>
      <c r="AA1051" s="106"/>
    </row>
    <row r="1052" spans="2:27" x14ac:dyDescent="0.25">
      <c r="B1052" s="174"/>
      <c r="C1052" s="174" t="str">
        <f>TEXT(data[[#This Row],[Fecha de Envío
Cotización]],"MMMM")</f>
        <v>abril</v>
      </c>
      <c r="D1052" s="174">
        <v>44300</v>
      </c>
      <c r="E1052" s="174" t="str">
        <f>IF(data[[#This Row],[Estatus de 
Cotización]]="PERDIDO","N/A","")</f>
        <v>N/A</v>
      </c>
      <c r="F1052" s="174"/>
      <c r="G1052" s="109"/>
      <c r="H1052" s="174"/>
      <c r="I1052" s="86">
        <v>511864</v>
      </c>
      <c r="J1052" s="87">
        <v>36706</v>
      </c>
      <c r="K1052" s="24" t="s">
        <v>130</v>
      </c>
      <c r="L1052" s="106"/>
      <c r="M1052" s="108" t="s">
        <v>651</v>
      </c>
      <c r="N1052" s="106">
        <v>4</v>
      </c>
      <c r="O1052" s="107"/>
      <c r="P1052" s="27">
        <v>146</v>
      </c>
      <c r="Q1052" s="28">
        <f>data[[#This Row],[Costo Producto
Proveedor ($/Unid)]]*data[[#This Row],[Cantidad]]</f>
        <v>0</v>
      </c>
      <c r="R1052" s="28">
        <f>data[[#This Row],[Cantidad]]*data[[#This Row],[Precio de Venta Cliente ($/Unid)]]</f>
        <v>584</v>
      </c>
      <c r="S1052" s="29"/>
      <c r="T1052" s="106" t="s">
        <v>73</v>
      </c>
      <c r="U1052" s="106"/>
      <c r="V1052" s="30" t="s">
        <v>42</v>
      </c>
      <c r="W1052" s="32" t="s">
        <v>42</v>
      </c>
      <c r="X1052" s="106" t="s">
        <v>23</v>
      </c>
      <c r="Y1052" s="106" t="s">
        <v>23</v>
      </c>
      <c r="Z1052" s="106" t="s">
        <v>12</v>
      </c>
      <c r="AA1052" s="106"/>
    </row>
    <row r="1053" spans="2:27" x14ac:dyDescent="0.25">
      <c r="B1053" s="174"/>
      <c r="C1053" s="174" t="str">
        <f>TEXT(data[[#This Row],[Fecha de Envío
Cotización]],"MMMM")</f>
        <v>abril</v>
      </c>
      <c r="D1053" s="174">
        <v>44300</v>
      </c>
      <c r="E1053" s="174" t="str">
        <f>IF(data[[#This Row],[Estatus de 
Cotización]]="PERDIDO","N/A","")</f>
        <v>N/A</v>
      </c>
      <c r="F1053" s="174"/>
      <c r="G1053" s="109"/>
      <c r="H1053" s="174"/>
      <c r="I1053" s="86">
        <v>511866</v>
      </c>
      <c r="J1053" s="87">
        <v>3</v>
      </c>
      <c r="K1053" s="24" t="s">
        <v>98</v>
      </c>
      <c r="L1053" s="106"/>
      <c r="M1053" s="108" t="s">
        <v>831</v>
      </c>
      <c r="N1053" s="106">
        <v>1</v>
      </c>
      <c r="O1053" s="107"/>
      <c r="P1053" s="27">
        <v>169.39</v>
      </c>
      <c r="Q1053" s="28">
        <f>data[[#This Row],[Costo Producto
Proveedor ($/Unid)]]*data[[#This Row],[Cantidad]]</f>
        <v>0</v>
      </c>
      <c r="R1053" s="28">
        <f>data[[#This Row],[Cantidad]]*data[[#This Row],[Precio de Venta Cliente ($/Unid)]]</f>
        <v>169.39</v>
      </c>
      <c r="S1053" s="29"/>
      <c r="T1053" s="106" t="s">
        <v>22</v>
      </c>
      <c r="U1053" s="106"/>
      <c r="V1053" s="30" t="s">
        <v>42</v>
      </c>
      <c r="W1053" s="32" t="s">
        <v>42</v>
      </c>
      <c r="X1053" s="106" t="s">
        <v>23</v>
      </c>
      <c r="Y1053" s="106" t="s">
        <v>23</v>
      </c>
      <c r="Z1053" s="106" t="s">
        <v>12</v>
      </c>
      <c r="AA1053" s="106"/>
    </row>
    <row r="1054" spans="2:27" x14ac:dyDescent="0.25">
      <c r="B1054" s="174"/>
      <c r="C1054" s="174" t="str">
        <f>TEXT(data[[#This Row],[Fecha de Envío
Cotización]],"MMMM")</f>
        <v>abril</v>
      </c>
      <c r="D1054" s="174">
        <v>44301</v>
      </c>
      <c r="E1054" s="174" t="str">
        <f>IF(data[[#This Row],[Estatus de 
Cotización]]="PERDIDO","N/A","")</f>
        <v>N/A</v>
      </c>
      <c r="F1054" s="174"/>
      <c r="G1054" s="109"/>
      <c r="H1054" s="174"/>
      <c r="I1054" s="86">
        <v>511868</v>
      </c>
      <c r="J1054" s="87">
        <v>37008</v>
      </c>
      <c r="K1054" s="24" t="s">
        <v>130</v>
      </c>
      <c r="L1054" s="106"/>
      <c r="M1054" s="108" t="s">
        <v>652</v>
      </c>
      <c r="N1054" s="106">
        <v>1</v>
      </c>
      <c r="O1054" s="107"/>
      <c r="P1054" s="27">
        <v>220.12</v>
      </c>
      <c r="Q1054" s="28">
        <f>data[[#This Row],[Costo Producto
Proveedor ($/Unid)]]*data[[#This Row],[Cantidad]]</f>
        <v>0</v>
      </c>
      <c r="R1054" s="28">
        <f>data[[#This Row],[Cantidad]]*data[[#This Row],[Precio de Venta Cliente ($/Unid)]]</f>
        <v>220.12</v>
      </c>
      <c r="S1054" s="29"/>
      <c r="T1054" s="106" t="s">
        <v>51</v>
      </c>
      <c r="U1054" s="106"/>
      <c r="V1054" s="30" t="s">
        <v>42</v>
      </c>
      <c r="W1054" s="32" t="s">
        <v>42</v>
      </c>
      <c r="X1054" s="106" t="s">
        <v>23</v>
      </c>
      <c r="Y1054" s="106" t="s">
        <v>23</v>
      </c>
      <c r="Z1054" s="106" t="s">
        <v>12</v>
      </c>
      <c r="AA1054" s="106"/>
    </row>
    <row r="1055" spans="2:27" x14ac:dyDescent="0.25">
      <c r="B1055" s="174"/>
      <c r="C1055" s="174" t="str">
        <f>TEXT(data[[#This Row],[Fecha de Envío
Cotización]],"MMMM")</f>
        <v>abril</v>
      </c>
      <c r="D1055" s="174">
        <v>44301</v>
      </c>
      <c r="E1055" s="174" t="str">
        <f>IF(data[[#This Row],[Estatus de 
Cotización]]="PERDIDO","N/A","")</f>
        <v>N/A</v>
      </c>
      <c r="F1055" s="174"/>
      <c r="G1055" s="109"/>
      <c r="H1055" s="174"/>
      <c r="I1055" s="86">
        <v>511869</v>
      </c>
      <c r="J1055" s="87">
        <v>37008</v>
      </c>
      <c r="K1055" s="24" t="s">
        <v>130</v>
      </c>
      <c r="L1055" s="106"/>
      <c r="M1055" s="108" t="s">
        <v>653</v>
      </c>
      <c r="N1055" s="106">
        <v>1</v>
      </c>
      <c r="O1055" s="107"/>
      <c r="P1055" s="27">
        <v>4507.5</v>
      </c>
      <c r="Q1055" s="28">
        <f>data[[#This Row],[Costo Producto
Proveedor ($/Unid)]]*data[[#This Row],[Cantidad]]</f>
        <v>0</v>
      </c>
      <c r="R1055" s="28">
        <f>data[[#This Row],[Cantidad]]*data[[#This Row],[Precio de Venta Cliente ($/Unid)]]</f>
        <v>4507.5</v>
      </c>
      <c r="S1055" s="29"/>
      <c r="T1055" s="106" t="s">
        <v>51</v>
      </c>
      <c r="U1055" s="106"/>
      <c r="V1055" s="30" t="s">
        <v>42</v>
      </c>
      <c r="W1055" s="32" t="s">
        <v>42</v>
      </c>
      <c r="X1055" s="106" t="s">
        <v>23</v>
      </c>
      <c r="Y1055" s="106" t="s">
        <v>23</v>
      </c>
      <c r="Z1055" s="106" t="s">
        <v>12</v>
      </c>
      <c r="AA1055" s="106"/>
    </row>
    <row r="1056" spans="2:27" x14ac:dyDescent="0.25">
      <c r="B1056" s="174"/>
      <c r="C1056" s="174" t="str">
        <f>TEXT(data[[#This Row],[Fecha de Envío
Cotización]],"MMMM")</f>
        <v>abril</v>
      </c>
      <c r="D1056" s="174">
        <v>44301</v>
      </c>
      <c r="E1056" s="174" t="str">
        <f>IF(data[[#This Row],[Estatus de 
Cotización]]="PERDIDO","N/A","")</f>
        <v>N/A</v>
      </c>
      <c r="F1056" s="174"/>
      <c r="G1056" s="109"/>
      <c r="H1056" s="174"/>
      <c r="I1056" s="86">
        <v>511870</v>
      </c>
      <c r="J1056" s="87">
        <v>37008</v>
      </c>
      <c r="K1056" s="24" t="s">
        <v>130</v>
      </c>
      <c r="L1056" s="106"/>
      <c r="M1056" s="108" t="s">
        <v>654</v>
      </c>
      <c r="N1056" s="106">
        <v>4</v>
      </c>
      <c r="O1056" s="107"/>
      <c r="P1056" s="27">
        <v>725.21</v>
      </c>
      <c r="Q1056" s="28">
        <f>data[[#This Row],[Costo Producto
Proveedor ($/Unid)]]*data[[#This Row],[Cantidad]]</f>
        <v>0</v>
      </c>
      <c r="R1056" s="28">
        <f>data[[#This Row],[Cantidad]]*data[[#This Row],[Precio de Venta Cliente ($/Unid)]]</f>
        <v>2900.84</v>
      </c>
      <c r="S1056" s="29"/>
      <c r="T1056" s="106" t="s">
        <v>51</v>
      </c>
      <c r="U1056" s="106"/>
      <c r="V1056" s="30" t="s">
        <v>42</v>
      </c>
      <c r="W1056" s="32" t="s">
        <v>42</v>
      </c>
      <c r="X1056" s="106" t="s">
        <v>23</v>
      </c>
      <c r="Y1056" s="106" t="s">
        <v>23</v>
      </c>
      <c r="Z1056" s="106" t="s">
        <v>12</v>
      </c>
      <c r="AA1056" s="106"/>
    </row>
    <row r="1057" spans="2:27" s="50" customFormat="1" x14ac:dyDescent="0.25">
      <c r="B1057" s="174"/>
      <c r="C1057" s="174" t="str">
        <f>TEXT(data[[#This Row],[Fecha de Envío
Cotización]],"MMMM")</f>
        <v>abril</v>
      </c>
      <c r="D1057" s="174">
        <v>44301</v>
      </c>
      <c r="E1057" s="174" t="str">
        <f>IF(data[[#This Row],[Estatus de 
Cotización]]="PERDIDO","N/A","")</f>
        <v>N/A</v>
      </c>
      <c r="F1057" s="174"/>
      <c r="G1057" s="109"/>
      <c r="H1057" s="174"/>
      <c r="I1057" s="86">
        <v>511871</v>
      </c>
      <c r="J1057" s="87">
        <v>37008</v>
      </c>
      <c r="K1057" s="24" t="s">
        <v>130</v>
      </c>
      <c r="L1057" s="106"/>
      <c r="M1057" s="108" t="s">
        <v>655</v>
      </c>
      <c r="N1057" s="106">
        <v>2</v>
      </c>
      <c r="O1057" s="107"/>
      <c r="P1057" s="27">
        <v>195.2</v>
      </c>
      <c r="Q1057" s="28">
        <f>data[[#This Row],[Costo Producto
Proveedor ($/Unid)]]*data[[#This Row],[Cantidad]]</f>
        <v>0</v>
      </c>
      <c r="R1057" s="28">
        <f>data[[#This Row],[Cantidad]]*data[[#This Row],[Precio de Venta Cliente ($/Unid)]]</f>
        <v>390.4</v>
      </c>
      <c r="S1057" s="29"/>
      <c r="T1057" s="106" t="s">
        <v>51</v>
      </c>
      <c r="U1057" s="106"/>
      <c r="V1057" s="30" t="s">
        <v>42</v>
      </c>
      <c r="W1057" s="32" t="s">
        <v>42</v>
      </c>
      <c r="X1057" s="106" t="s">
        <v>23</v>
      </c>
      <c r="Y1057" s="106" t="s">
        <v>23</v>
      </c>
      <c r="Z1057" s="106" t="s">
        <v>12</v>
      </c>
      <c r="AA1057" s="106"/>
    </row>
    <row r="1058" spans="2:27" s="50" customFormat="1" x14ac:dyDescent="0.25">
      <c r="B1058" s="174"/>
      <c r="C1058" s="174" t="str">
        <f>TEXT(data[[#This Row],[Fecha de Envío
Cotización]],"MMMM")</f>
        <v>abril</v>
      </c>
      <c r="D1058" s="174">
        <v>44301</v>
      </c>
      <c r="E1058" s="174" t="str">
        <f>IF(data[[#This Row],[Estatus de 
Cotización]]="PERDIDO","N/A","")</f>
        <v>N/A</v>
      </c>
      <c r="F1058" s="174"/>
      <c r="G1058" s="109"/>
      <c r="H1058" s="174"/>
      <c r="I1058" s="86">
        <v>511873</v>
      </c>
      <c r="J1058" s="87">
        <v>1</v>
      </c>
      <c r="K1058" s="24" t="s">
        <v>130</v>
      </c>
      <c r="L1058" s="106"/>
      <c r="M1058" s="108" t="s">
        <v>656</v>
      </c>
      <c r="N1058" s="106">
        <v>10</v>
      </c>
      <c r="O1058" s="107"/>
      <c r="P1058" s="27">
        <v>7.38</v>
      </c>
      <c r="Q1058" s="28">
        <f>data[[#This Row],[Costo Producto
Proveedor ($/Unid)]]*data[[#This Row],[Cantidad]]</f>
        <v>0</v>
      </c>
      <c r="R1058" s="28">
        <f>data[[#This Row],[Cantidad]]*data[[#This Row],[Precio de Venta Cliente ($/Unid)]]</f>
        <v>73.8</v>
      </c>
      <c r="S1058" s="29"/>
      <c r="T1058" s="31" t="s">
        <v>142</v>
      </c>
      <c r="U1058" s="106"/>
      <c r="V1058" s="30" t="s">
        <v>42</v>
      </c>
      <c r="W1058" s="32" t="s">
        <v>42</v>
      </c>
      <c r="X1058" s="106" t="s">
        <v>23</v>
      </c>
      <c r="Y1058" s="106" t="s">
        <v>23</v>
      </c>
      <c r="Z1058" s="106" t="s">
        <v>12</v>
      </c>
      <c r="AA1058" s="106"/>
    </row>
    <row r="1059" spans="2:27" s="50" customFormat="1" x14ac:dyDescent="0.25">
      <c r="B1059" s="174"/>
      <c r="C1059" s="174" t="str">
        <f>TEXT(data[[#This Row],[Fecha de Envío
Cotización]],"MMMM")</f>
        <v>abril</v>
      </c>
      <c r="D1059" s="174">
        <v>44301</v>
      </c>
      <c r="E1059" s="174" t="str">
        <f>IF(data[[#This Row],[Estatus de 
Cotización]]="PERDIDO","N/A","")</f>
        <v>N/A</v>
      </c>
      <c r="F1059" s="174"/>
      <c r="G1059" s="109"/>
      <c r="H1059" s="174"/>
      <c r="I1059" s="86">
        <v>511874</v>
      </c>
      <c r="J1059" s="87">
        <v>5</v>
      </c>
      <c r="K1059" s="24" t="s">
        <v>31</v>
      </c>
      <c r="L1059" s="106"/>
      <c r="M1059" s="108" t="s">
        <v>832</v>
      </c>
      <c r="N1059" s="106">
        <v>1</v>
      </c>
      <c r="O1059" s="107"/>
      <c r="P1059" s="27">
        <v>803.68</v>
      </c>
      <c r="Q1059" s="28">
        <f>data[[#This Row],[Costo Producto
Proveedor ($/Unid)]]*data[[#This Row],[Cantidad]]</f>
        <v>0</v>
      </c>
      <c r="R1059" s="28">
        <f>data[[#This Row],[Cantidad]]*data[[#This Row],[Precio de Venta Cliente ($/Unid)]]</f>
        <v>803.68</v>
      </c>
      <c r="S1059" s="29"/>
      <c r="T1059" s="106" t="s">
        <v>22</v>
      </c>
      <c r="U1059" s="106"/>
      <c r="V1059" s="30" t="s">
        <v>42</v>
      </c>
      <c r="W1059" s="32" t="s">
        <v>42</v>
      </c>
      <c r="X1059" s="106" t="s">
        <v>23</v>
      </c>
      <c r="Y1059" s="106" t="s">
        <v>23</v>
      </c>
      <c r="Z1059" s="106" t="s">
        <v>12</v>
      </c>
      <c r="AA1059" s="106"/>
    </row>
    <row r="1060" spans="2:27" s="50" customFormat="1" x14ac:dyDescent="0.25">
      <c r="B1060" s="174"/>
      <c r="C1060" s="174" t="str">
        <f>TEXT(data[[#This Row],[Fecha de Envío
Cotización]],"MMMM")</f>
        <v>abril</v>
      </c>
      <c r="D1060" s="174">
        <v>44302</v>
      </c>
      <c r="E1060" s="174" t="str">
        <f>IF(data[[#This Row],[Estatus de 
Cotización]]="PERDIDO","N/A","")</f>
        <v>N/A</v>
      </c>
      <c r="F1060" s="174"/>
      <c r="G1060" s="109"/>
      <c r="H1060" s="174"/>
      <c r="I1060" s="86">
        <v>511890</v>
      </c>
      <c r="J1060" s="87">
        <v>5</v>
      </c>
      <c r="K1060" s="24" t="s">
        <v>130</v>
      </c>
      <c r="L1060" s="106"/>
      <c r="M1060" s="108" t="s">
        <v>657</v>
      </c>
      <c r="N1060" s="106">
        <v>1</v>
      </c>
      <c r="O1060" s="107"/>
      <c r="P1060" s="27">
        <v>877.5</v>
      </c>
      <c r="Q1060" s="28">
        <f>data[[#This Row],[Costo Producto
Proveedor ($/Unid)]]*data[[#This Row],[Cantidad]]</f>
        <v>0</v>
      </c>
      <c r="R1060" s="28">
        <f>data[[#This Row],[Cantidad]]*data[[#This Row],[Precio de Venta Cliente ($/Unid)]]</f>
        <v>877.5</v>
      </c>
      <c r="S1060" s="29"/>
      <c r="T1060" s="106" t="s">
        <v>56</v>
      </c>
      <c r="U1060" s="106"/>
      <c r="V1060" s="30" t="s">
        <v>42</v>
      </c>
      <c r="W1060" s="32" t="s">
        <v>42</v>
      </c>
      <c r="X1060" s="106" t="s">
        <v>23</v>
      </c>
      <c r="Y1060" s="106" t="s">
        <v>23</v>
      </c>
      <c r="Z1060" s="106" t="s">
        <v>12</v>
      </c>
      <c r="AA1060" s="106"/>
    </row>
    <row r="1061" spans="2:27" s="50" customFormat="1" x14ac:dyDescent="0.25">
      <c r="B1061" s="174"/>
      <c r="C1061" s="174" t="str">
        <f>TEXT(data[[#This Row],[Fecha de Envío
Cotización]],"MMMM")</f>
        <v>abril</v>
      </c>
      <c r="D1061" s="174">
        <v>44302</v>
      </c>
      <c r="E1061" s="174" t="str">
        <f>IF(data[[#This Row],[Estatus de 
Cotización]]="PERDIDO","N/A","")</f>
        <v>N/A</v>
      </c>
      <c r="F1061" s="174"/>
      <c r="G1061" s="109"/>
      <c r="H1061" s="174"/>
      <c r="I1061" s="86">
        <v>511891</v>
      </c>
      <c r="J1061" s="87">
        <v>5</v>
      </c>
      <c r="K1061" s="24" t="s">
        <v>130</v>
      </c>
      <c r="L1061" s="106"/>
      <c r="M1061" s="105" t="s">
        <v>658</v>
      </c>
      <c r="N1061" s="106">
        <v>1</v>
      </c>
      <c r="O1061" s="107"/>
      <c r="P1061" s="27">
        <v>689.4</v>
      </c>
      <c r="Q1061" s="28">
        <f>data[[#This Row],[Costo Producto
Proveedor ($/Unid)]]*data[[#This Row],[Cantidad]]</f>
        <v>0</v>
      </c>
      <c r="R1061" s="28">
        <f>data[[#This Row],[Cantidad]]*data[[#This Row],[Precio de Venta Cliente ($/Unid)]]</f>
        <v>689.4</v>
      </c>
      <c r="S1061" s="29"/>
      <c r="T1061" s="106" t="s">
        <v>56</v>
      </c>
      <c r="U1061" s="106"/>
      <c r="V1061" s="30" t="s">
        <v>42</v>
      </c>
      <c r="W1061" s="32" t="s">
        <v>42</v>
      </c>
      <c r="X1061" s="106" t="s">
        <v>23</v>
      </c>
      <c r="Y1061" s="106" t="s">
        <v>23</v>
      </c>
      <c r="Z1061" s="106" t="s">
        <v>12</v>
      </c>
      <c r="AA1061" s="106"/>
    </row>
    <row r="1062" spans="2:27" s="50" customFormat="1" x14ac:dyDescent="0.25">
      <c r="B1062" s="174"/>
      <c r="C1062" s="174" t="str">
        <f>TEXT(data[[#This Row],[Fecha de Envío
Cotización]],"MMMM")</f>
        <v>abril</v>
      </c>
      <c r="D1062" s="174">
        <v>44302</v>
      </c>
      <c r="E1062" s="174" t="str">
        <f>IF(data[[#This Row],[Estatus de 
Cotización]]="PERDIDO","N/A","")</f>
        <v>N/A</v>
      </c>
      <c r="F1062" s="174"/>
      <c r="G1062" s="109"/>
      <c r="H1062" s="174"/>
      <c r="I1062" s="86">
        <v>511892</v>
      </c>
      <c r="J1062" s="87">
        <v>6</v>
      </c>
      <c r="K1062" s="24" t="s">
        <v>31</v>
      </c>
      <c r="L1062" s="106"/>
      <c r="M1062" s="108" t="s">
        <v>833</v>
      </c>
      <c r="N1062" s="106">
        <v>50</v>
      </c>
      <c r="O1062" s="107"/>
      <c r="P1062" s="27">
        <v>11.62</v>
      </c>
      <c r="Q1062" s="28">
        <f>data[[#This Row],[Costo Producto
Proveedor ($/Unid)]]*data[[#This Row],[Cantidad]]</f>
        <v>0</v>
      </c>
      <c r="R1062" s="28">
        <f>data[[#This Row],[Cantidad]]*data[[#This Row],[Precio de Venta Cliente ($/Unid)]]</f>
        <v>581</v>
      </c>
      <c r="S1062" s="29"/>
      <c r="T1062" s="106" t="s">
        <v>22</v>
      </c>
      <c r="U1062" s="106"/>
      <c r="V1062" s="30" t="s">
        <v>42</v>
      </c>
      <c r="W1062" s="32" t="s">
        <v>42</v>
      </c>
      <c r="X1062" s="106" t="s">
        <v>23</v>
      </c>
      <c r="Y1062" s="106" t="s">
        <v>23</v>
      </c>
      <c r="Z1062" s="106" t="s">
        <v>12</v>
      </c>
      <c r="AA1062" s="106"/>
    </row>
    <row r="1063" spans="2:27" x14ac:dyDescent="0.25">
      <c r="B1063" s="174"/>
      <c r="C1063" s="174" t="str">
        <f>TEXT(data[[#This Row],[Fecha de Envío
Cotización]],"MMMM")</f>
        <v>abril</v>
      </c>
      <c r="D1063" s="174">
        <v>44302</v>
      </c>
      <c r="E1063" s="174" t="str">
        <f>IF(data[[#This Row],[Estatus de 
Cotización]]="PERDIDO","N/A","")</f>
        <v>N/A</v>
      </c>
      <c r="F1063" s="174"/>
      <c r="G1063" s="109"/>
      <c r="H1063" s="174"/>
      <c r="I1063" s="86">
        <v>511893</v>
      </c>
      <c r="J1063" s="87">
        <v>6</v>
      </c>
      <c r="K1063" s="24" t="s">
        <v>31</v>
      </c>
      <c r="L1063" s="106"/>
      <c r="M1063" s="108" t="s">
        <v>834</v>
      </c>
      <c r="N1063" s="106">
        <v>10</v>
      </c>
      <c r="O1063" s="107"/>
      <c r="P1063" s="27">
        <v>29.04</v>
      </c>
      <c r="Q1063" s="28">
        <f>data[[#This Row],[Costo Producto
Proveedor ($/Unid)]]*data[[#This Row],[Cantidad]]</f>
        <v>0</v>
      </c>
      <c r="R1063" s="28">
        <f>data[[#This Row],[Cantidad]]*data[[#This Row],[Precio de Venta Cliente ($/Unid)]]</f>
        <v>290.39999999999998</v>
      </c>
      <c r="S1063" s="29"/>
      <c r="T1063" s="106" t="s">
        <v>22</v>
      </c>
      <c r="U1063" s="106"/>
      <c r="V1063" s="30" t="s">
        <v>42</v>
      </c>
      <c r="W1063" s="32" t="s">
        <v>42</v>
      </c>
      <c r="X1063" s="106" t="s">
        <v>23</v>
      </c>
      <c r="Y1063" s="106" t="s">
        <v>23</v>
      </c>
      <c r="Z1063" s="106" t="s">
        <v>12</v>
      </c>
      <c r="AA1063" s="106"/>
    </row>
    <row r="1064" spans="2:27" x14ac:dyDescent="0.25">
      <c r="B1064" s="174"/>
      <c r="C1064" s="174" t="str">
        <f>TEXT(data[[#This Row],[Fecha de Envío
Cotización]],"MMMM")</f>
        <v>abril</v>
      </c>
      <c r="D1064" s="174">
        <v>44302</v>
      </c>
      <c r="E1064" s="174" t="str">
        <f>IF(data[[#This Row],[Estatus de 
Cotización]]="PERDIDO","N/A","")</f>
        <v>N/A</v>
      </c>
      <c r="F1064" s="174"/>
      <c r="G1064" s="109"/>
      <c r="H1064" s="174"/>
      <c r="I1064" s="86">
        <v>511894</v>
      </c>
      <c r="J1064" s="87">
        <v>6</v>
      </c>
      <c r="K1064" s="24" t="s">
        <v>31</v>
      </c>
      <c r="L1064" s="106"/>
      <c r="M1064" s="108" t="s">
        <v>835</v>
      </c>
      <c r="N1064" s="106">
        <v>50</v>
      </c>
      <c r="O1064" s="107"/>
      <c r="P1064" s="27">
        <v>7.26</v>
      </c>
      <c r="Q1064" s="28">
        <f>data[[#This Row],[Costo Producto
Proveedor ($/Unid)]]*data[[#This Row],[Cantidad]]</f>
        <v>0</v>
      </c>
      <c r="R1064" s="28">
        <f>data[[#This Row],[Cantidad]]*data[[#This Row],[Precio de Venta Cliente ($/Unid)]]</f>
        <v>363</v>
      </c>
      <c r="S1064" s="29"/>
      <c r="T1064" s="106" t="s">
        <v>22</v>
      </c>
      <c r="U1064" s="106"/>
      <c r="V1064" s="30" t="s">
        <v>42</v>
      </c>
      <c r="W1064" s="32" t="s">
        <v>42</v>
      </c>
      <c r="X1064" s="106" t="s">
        <v>23</v>
      </c>
      <c r="Y1064" s="106" t="s">
        <v>23</v>
      </c>
      <c r="Z1064" s="106" t="s">
        <v>12</v>
      </c>
      <c r="AA1064" s="106"/>
    </row>
    <row r="1065" spans="2:27" s="50" customFormat="1" x14ac:dyDescent="0.25">
      <c r="B1065" s="174"/>
      <c r="C1065" s="174" t="str">
        <f>TEXT(data[[#This Row],[Fecha de Envío
Cotización]],"MMMM")</f>
        <v>abril</v>
      </c>
      <c r="D1065" s="174">
        <v>44302</v>
      </c>
      <c r="E1065" s="174" t="str">
        <f>IF(data[[#This Row],[Estatus de 
Cotización]]="PERDIDO","N/A","")</f>
        <v>N/A</v>
      </c>
      <c r="F1065" s="174"/>
      <c r="G1065" s="109"/>
      <c r="H1065" s="174"/>
      <c r="I1065" s="86">
        <v>511895</v>
      </c>
      <c r="J1065" s="87">
        <v>6</v>
      </c>
      <c r="K1065" s="24" t="s">
        <v>31</v>
      </c>
      <c r="L1065" s="106"/>
      <c r="M1065" s="108" t="s">
        <v>836</v>
      </c>
      <c r="N1065" s="106">
        <v>10</v>
      </c>
      <c r="O1065" s="107"/>
      <c r="P1065" s="27">
        <v>2.9</v>
      </c>
      <c r="Q1065" s="28">
        <f>data[[#This Row],[Costo Producto
Proveedor ($/Unid)]]*data[[#This Row],[Cantidad]]</f>
        <v>0</v>
      </c>
      <c r="R1065" s="28">
        <f>data[[#This Row],[Cantidad]]*data[[#This Row],[Precio de Venta Cliente ($/Unid)]]</f>
        <v>29</v>
      </c>
      <c r="S1065" s="29"/>
      <c r="T1065" s="106" t="s">
        <v>22</v>
      </c>
      <c r="U1065" s="106"/>
      <c r="V1065" s="30" t="s">
        <v>42</v>
      </c>
      <c r="W1065" s="32" t="s">
        <v>42</v>
      </c>
      <c r="X1065" s="106" t="s">
        <v>23</v>
      </c>
      <c r="Y1065" s="106" t="s">
        <v>23</v>
      </c>
      <c r="Z1065" s="106" t="s">
        <v>12</v>
      </c>
      <c r="AA1065" s="106"/>
    </row>
    <row r="1066" spans="2:27" x14ac:dyDescent="0.25">
      <c r="B1066" s="174"/>
      <c r="C1066" s="174" t="str">
        <f>TEXT(data[[#This Row],[Fecha de Envío
Cotización]],"MMMM")</f>
        <v>abril</v>
      </c>
      <c r="D1066" s="174">
        <v>44305</v>
      </c>
      <c r="E1066" s="174" t="str">
        <f>IF(data[[#This Row],[Estatus de 
Cotización]]="PERDIDO","N/A","")</f>
        <v>N/A</v>
      </c>
      <c r="F1066" s="174"/>
      <c r="G1066" s="109"/>
      <c r="H1066" s="174"/>
      <c r="I1066" s="86">
        <v>511896</v>
      </c>
      <c r="J1066" s="87">
        <v>6001</v>
      </c>
      <c r="K1066" s="24" t="s">
        <v>143</v>
      </c>
      <c r="L1066" s="106"/>
      <c r="M1066" s="108" t="s">
        <v>837</v>
      </c>
      <c r="N1066" s="106">
        <v>10</v>
      </c>
      <c r="O1066" s="107"/>
      <c r="P1066" s="107">
        <v>27.2</v>
      </c>
      <c r="Q1066" s="28">
        <f>data[[#This Row],[Costo Producto
Proveedor ($/Unid)]]*data[[#This Row],[Cantidad]]</f>
        <v>0</v>
      </c>
      <c r="R1066" s="28">
        <f>data[[#This Row],[Cantidad]]*data[[#This Row],[Precio de Venta Cliente ($/Unid)]]</f>
        <v>272</v>
      </c>
      <c r="S1066" s="29"/>
      <c r="T1066" s="106" t="s">
        <v>124</v>
      </c>
      <c r="U1066" s="106"/>
      <c r="V1066" s="30" t="s">
        <v>42</v>
      </c>
      <c r="W1066" s="32" t="s">
        <v>42</v>
      </c>
      <c r="X1066" s="106" t="s">
        <v>23</v>
      </c>
      <c r="Y1066" s="106" t="s">
        <v>23</v>
      </c>
      <c r="Z1066" s="106" t="s">
        <v>12</v>
      </c>
      <c r="AA1066" s="106"/>
    </row>
    <row r="1067" spans="2:27" x14ac:dyDescent="0.25">
      <c r="B1067" s="174"/>
      <c r="C1067" s="174" t="str">
        <f>TEXT(data[[#This Row],[Fecha de Envío
Cotización]],"MMMM")</f>
        <v>abril</v>
      </c>
      <c r="D1067" s="174">
        <v>44305</v>
      </c>
      <c r="E1067" s="174" t="str">
        <f>IF(data[[#This Row],[Estatus de 
Cotización]]="PERDIDO","N/A","")</f>
        <v>N/A</v>
      </c>
      <c r="F1067" s="174"/>
      <c r="G1067" s="109"/>
      <c r="H1067" s="174"/>
      <c r="I1067" s="86">
        <v>511897</v>
      </c>
      <c r="J1067" s="87">
        <v>6001</v>
      </c>
      <c r="K1067" s="24" t="s">
        <v>143</v>
      </c>
      <c r="L1067" s="106"/>
      <c r="M1067" s="108" t="s">
        <v>838</v>
      </c>
      <c r="N1067" s="106">
        <v>10</v>
      </c>
      <c r="O1067" s="107"/>
      <c r="P1067" s="107">
        <v>32.630000000000003</v>
      </c>
      <c r="Q1067" s="28">
        <f>data[[#This Row],[Costo Producto
Proveedor ($/Unid)]]*data[[#This Row],[Cantidad]]</f>
        <v>0</v>
      </c>
      <c r="R1067" s="28">
        <f>data[[#This Row],[Cantidad]]*data[[#This Row],[Precio de Venta Cliente ($/Unid)]]</f>
        <v>326.3</v>
      </c>
      <c r="S1067" s="29"/>
      <c r="T1067" s="106" t="s">
        <v>124</v>
      </c>
      <c r="U1067" s="106"/>
      <c r="V1067" s="30" t="s">
        <v>42</v>
      </c>
      <c r="W1067" s="32" t="s">
        <v>42</v>
      </c>
      <c r="X1067" s="106" t="s">
        <v>23</v>
      </c>
      <c r="Y1067" s="106" t="s">
        <v>23</v>
      </c>
      <c r="Z1067" s="106" t="s">
        <v>12</v>
      </c>
      <c r="AA1067" s="106"/>
    </row>
    <row r="1068" spans="2:27" x14ac:dyDescent="0.25">
      <c r="B1068" s="174"/>
      <c r="C1068" s="174" t="str">
        <f>TEXT(data[[#This Row],[Fecha de Envío
Cotización]],"MMMM")</f>
        <v>abril</v>
      </c>
      <c r="D1068" s="174">
        <v>44305</v>
      </c>
      <c r="E1068" s="174" t="str">
        <f>IF(data[[#This Row],[Estatus de 
Cotización]]="PERDIDO","N/A","")</f>
        <v>N/A</v>
      </c>
      <c r="F1068" s="174"/>
      <c r="G1068" s="109"/>
      <c r="H1068" s="174"/>
      <c r="I1068" s="86">
        <v>511898</v>
      </c>
      <c r="J1068" s="87">
        <v>6001</v>
      </c>
      <c r="K1068" s="24" t="s">
        <v>143</v>
      </c>
      <c r="L1068" s="106"/>
      <c r="M1068" s="108" t="s">
        <v>839</v>
      </c>
      <c r="N1068" s="106">
        <v>10</v>
      </c>
      <c r="O1068" s="107"/>
      <c r="P1068" s="107">
        <v>34.71</v>
      </c>
      <c r="Q1068" s="28">
        <f>data[[#This Row],[Costo Producto
Proveedor ($/Unid)]]*data[[#This Row],[Cantidad]]</f>
        <v>0</v>
      </c>
      <c r="R1068" s="28">
        <f>data[[#This Row],[Cantidad]]*data[[#This Row],[Precio de Venta Cliente ($/Unid)]]</f>
        <v>347.1</v>
      </c>
      <c r="S1068" s="29"/>
      <c r="T1068" s="106" t="s">
        <v>124</v>
      </c>
      <c r="U1068" s="106"/>
      <c r="V1068" s="30" t="s">
        <v>42</v>
      </c>
      <c r="W1068" s="32" t="s">
        <v>42</v>
      </c>
      <c r="X1068" s="106" t="s">
        <v>23</v>
      </c>
      <c r="Y1068" s="106" t="s">
        <v>23</v>
      </c>
      <c r="Z1068" s="106" t="s">
        <v>12</v>
      </c>
      <c r="AA1068" s="106"/>
    </row>
    <row r="1069" spans="2:27" x14ac:dyDescent="0.25">
      <c r="B1069" s="174"/>
      <c r="C1069" s="174" t="str">
        <f>TEXT(data[[#This Row],[Fecha de Envío
Cotización]],"MMMM")</f>
        <v>abril</v>
      </c>
      <c r="D1069" s="174">
        <v>44307</v>
      </c>
      <c r="E1069" s="174" t="str">
        <f>IF(data[[#This Row],[Estatus de 
Cotización]]="PERDIDO","N/A","")</f>
        <v>N/A</v>
      </c>
      <c r="F1069" s="174"/>
      <c r="G1069" s="109"/>
      <c r="H1069" s="174"/>
      <c r="I1069" s="86">
        <v>511914</v>
      </c>
      <c r="J1069" s="87">
        <v>6003</v>
      </c>
      <c r="K1069" s="24" t="s">
        <v>144</v>
      </c>
      <c r="L1069" s="106"/>
      <c r="M1069" s="108" t="s">
        <v>840</v>
      </c>
      <c r="N1069" s="106">
        <v>4</v>
      </c>
      <c r="O1069" s="107"/>
      <c r="P1069" s="27">
        <v>29.44</v>
      </c>
      <c r="Q1069" s="28">
        <f>data[[#This Row],[Costo Producto
Proveedor ($/Unid)]]*data[[#This Row],[Cantidad]]</f>
        <v>0</v>
      </c>
      <c r="R1069" s="28">
        <f>data[[#This Row],[Cantidad]]*data[[#This Row],[Precio de Venta Cliente ($/Unid)]]</f>
        <v>117.76</v>
      </c>
      <c r="S1069" s="29"/>
      <c r="T1069" s="106" t="s">
        <v>119</v>
      </c>
      <c r="U1069" s="106"/>
      <c r="V1069" s="30" t="s">
        <v>42</v>
      </c>
      <c r="W1069" s="32" t="s">
        <v>42</v>
      </c>
      <c r="X1069" s="106" t="s">
        <v>23</v>
      </c>
      <c r="Y1069" s="106" t="s">
        <v>23</v>
      </c>
      <c r="Z1069" s="106" t="s">
        <v>12</v>
      </c>
      <c r="AA1069" s="106"/>
    </row>
    <row r="1070" spans="2:27" x14ac:dyDescent="0.25">
      <c r="B1070" s="174"/>
      <c r="C1070" s="174" t="str">
        <f>TEXT(data[[#This Row],[Fecha de Envío
Cotización]],"MMMM")</f>
        <v>abril</v>
      </c>
      <c r="D1070" s="174">
        <v>44307</v>
      </c>
      <c r="E1070" s="174" t="str">
        <f>IF(data[[#This Row],[Estatus de 
Cotización]]="PERDIDO","N/A","")</f>
        <v>N/A</v>
      </c>
      <c r="F1070" s="174"/>
      <c r="G1070" s="109"/>
      <c r="H1070" s="174"/>
      <c r="I1070" s="86">
        <v>511915</v>
      </c>
      <c r="J1070" s="87">
        <v>6003</v>
      </c>
      <c r="K1070" s="24" t="s">
        <v>144</v>
      </c>
      <c r="L1070" s="106"/>
      <c r="M1070" s="108" t="s">
        <v>841</v>
      </c>
      <c r="N1070" s="106">
        <v>4</v>
      </c>
      <c r="O1070" s="107"/>
      <c r="P1070" s="27">
        <v>16.29</v>
      </c>
      <c r="Q1070" s="28">
        <f>data[[#This Row],[Costo Producto
Proveedor ($/Unid)]]*data[[#This Row],[Cantidad]]</f>
        <v>0</v>
      </c>
      <c r="R1070" s="28">
        <f>data[[#This Row],[Cantidad]]*data[[#This Row],[Precio de Venta Cliente ($/Unid)]]</f>
        <v>65.16</v>
      </c>
      <c r="S1070" s="29"/>
      <c r="T1070" s="106" t="s">
        <v>119</v>
      </c>
      <c r="U1070" s="106"/>
      <c r="V1070" s="30" t="s">
        <v>42</v>
      </c>
      <c r="W1070" s="32" t="s">
        <v>42</v>
      </c>
      <c r="X1070" s="106" t="s">
        <v>23</v>
      </c>
      <c r="Y1070" s="106" t="s">
        <v>23</v>
      </c>
      <c r="Z1070" s="106" t="s">
        <v>12</v>
      </c>
      <c r="AA1070" s="106"/>
    </row>
    <row r="1071" spans="2:27" x14ac:dyDescent="0.25">
      <c r="B1071" s="174"/>
      <c r="C1071" s="174" t="str">
        <f>TEXT(data[[#This Row],[Fecha de Envío
Cotización]],"MMMM")</f>
        <v>abril</v>
      </c>
      <c r="D1071" s="174">
        <v>44307</v>
      </c>
      <c r="E1071" s="174" t="str">
        <f>IF(data[[#This Row],[Estatus de 
Cotización]]="PERDIDO","N/A","")</f>
        <v>N/A</v>
      </c>
      <c r="F1071" s="174"/>
      <c r="G1071" s="109"/>
      <c r="H1071" s="174"/>
      <c r="I1071" s="86">
        <v>511916</v>
      </c>
      <c r="J1071" s="87">
        <v>6003</v>
      </c>
      <c r="K1071" s="24" t="s">
        <v>144</v>
      </c>
      <c r="L1071" s="106"/>
      <c r="M1071" s="108" t="s">
        <v>842</v>
      </c>
      <c r="N1071" s="106">
        <v>4</v>
      </c>
      <c r="O1071" s="107"/>
      <c r="P1071" s="27">
        <v>16.079999999999998</v>
      </c>
      <c r="Q1071" s="28">
        <f>data[[#This Row],[Costo Producto
Proveedor ($/Unid)]]*data[[#This Row],[Cantidad]]</f>
        <v>0</v>
      </c>
      <c r="R1071" s="28">
        <f>data[[#This Row],[Cantidad]]*data[[#This Row],[Precio de Venta Cliente ($/Unid)]]</f>
        <v>64.319999999999993</v>
      </c>
      <c r="S1071" s="29"/>
      <c r="T1071" s="106" t="s">
        <v>119</v>
      </c>
      <c r="U1071" s="106"/>
      <c r="V1071" s="30" t="s">
        <v>42</v>
      </c>
      <c r="W1071" s="32" t="s">
        <v>42</v>
      </c>
      <c r="X1071" s="106" t="s">
        <v>23</v>
      </c>
      <c r="Y1071" s="106" t="s">
        <v>23</v>
      </c>
      <c r="Z1071" s="106" t="s">
        <v>12</v>
      </c>
      <c r="AA1071" s="106"/>
    </row>
    <row r="1072" spans="2:27" x14ac:dyDescent="0.25">
      <c r="B1072" s="174"/>
      <c r="C1072" s="174" t="str">
        <f>TEXT(data[[#This Row],[Fecha de Envío
Cotización]],"MMMM")</f>
        <v>abril</v>
      </c>
      <c r="D1072" s="174">
        <v>44307</v>
      </c>
      <c r="E1072" s="174" t="str">
        <f>IF(data[[#This Row],[Estatus de 
Cotización]]="PERDIDO","N/A","")</f>
        <v>N/A</v>
      </c>
      <c r="F1072" s="174"/>
      <c r="G1072" s="109"/>
      <c r="H1072" s="174"/>
      <c r="I1072" s="86">
        <v>511917</v>
      </c>
      <c r="J1072" s="87">
        <v>6003</v>
      </c>
      <c r="K1072" s="24" t="s">
        <v>144</v>
      </c>
      <c r="L1072" s="106"/>
      <c r="M1072" s="108" t="s">
        <v>843</v>
      </c>
      <c r="N1072" s="106">
        <v>1</v>
      </c>
      <c r="O1072" s="107"/>
      <c r="P1072" s="27">
        <v>437.31</v>
      </c>
      <c r="Q1072" s="28">
        <f>data[[#This Row],[Costo Producto
Proveedor ($/Unid)]]*data[[#This Row],[Cantidad]]</f>
        <v>0</v>
      </c>
      <c r="R1072" s="28">
        <f>data[[#This Row],[Cantidad]]*data[[#This Row],[Precio de Venta Cliente ($/Unid)]]</f>
        <v>437.31</v>
      </c>
      <c r="S1072" s="29"/>
      <c r="T1072" s="106" t="s">
        <v>119</v>
      </c>
      <c r="U1072" s="106"/>
      <c r="V1072" s="30" t="s">
        <v>42</v>
      </c>
      <c r="W1072" s="32" t="s">
        <v>42</v>
      </c>
      <c r="X1072" s="106" t="s">
        <v>23</v>
      </c>
      <c r="Y1072" s="106" t="s">
        <v>23</v>
      </c>
      <c r="Z1072" s="106" t="s">
        <v>12</v>
      </c>
      <c r="AA1072" s="106"/>
    </row>
    <row r="1073" spans="2:27" x14ac:dyDescent="0.25">
      <c r="B1073" s="174"/>
      <c r="C1073" s="174" t="str">
        <f>TEXT(data[[#This Row],[Fecha de Envío
Cotización]],"MMMM")</f>
        <v>abril</v>
      </c>
      <c r="D1073" s="174">
        <v>44307</v>
      </c>
      <c r="E1073" s="174" t="str">
        <f>IF(data[[#This Row],[Estatus de 
Cotización]]="PERDIDO","N/A","")</f>
        <v>N/A</v>
      </c>
      <c r="F1073" s="174"/>
      <c r="G1073" s="109"/>
      <c r="H1073" s="174"/>
      <c r="I1073" s="86">
        <v>511918</v>
      </c>
      <c r="J1073" s="87">
        <v>6003</v>
      </c>
      <c r="K1073" s="24" t="s">
        <v>144</v>
      </c>
      <c r="L1073" s="106"/>
      <c r="M1073" s="108" t="s">
        <v>844</v>
      </c>
      <c r="N1073" s="106">
        <v>40</v>
      </c>
      <c r="O1073" s="107"/>
      <c r="P1073" s="27">
        <v>16.079999999999998</v>
      </c>
      <c r="Q1073" s="28">
        <f>data[[#This Row],[Costo Producto
Proveedor ($/Unid)]]*data[[#This Row],[Cantidad]]</f>
        <v>0</v>
      </c>
      <c r="R1073" s="28">
        <f>data[[#This Row],[Cantidad]]*data[[#This Row],[Precio de Venta Cliente ($/Unid)]]</f>
        <v>643.19999999999993</v>
      </c>
      <c r="S1073" s="29"/>
      <c r="T1073" s="106" t="s">
        <v>119</v>
      </c>
      <c r="U1073" s="106"/>
      <c r="V1073" s="30" t="s">
        <v>42</v>
      </c>
      <c r="W1073" s="32" t="s">
        <v>42</v>
      </c>
      <c r="X1073" s="106" t="s">
        <v>23</v>
      </c>
      <c r="Y1073" s="106" t="s">
        <v>23</v>
      </c>
      <c r="Z1073" s="106" t="s">
        <v>12</v>
      </c>
      <c r="AA1073" s="106"/>
    </row>
    <row r="1074" spans="2:27" x14ac:dyDescent="0.25">
      <c r="B1074" s="174"/>
      <c r="C1074" s="174" t="str">
        <f>TEXT(data[[#This Row],[Fecha de Envío
Cotización]],"MMMM")</f>
        <v>abril</v>
      </c>
      <c r="D1074" s="174">
        <v>44308</v>
      </c>
      <c r="E1074" s="174" t="str">
        <f>IF(data[[#This Row],[Estatus de 
Cotización]]="PERDIDO","N/A","")</f>
        <v>N/A</v>
      </c>
      <c r="F1074" s="174"/>
      <c r="G1074" s="109"/>
      <c r="H1074" s="174"/>
      <c r="I1074" s="86">
        <v>511923</v>
      </c>
      <c r="J1074" s="87">
        <v>6005</v>
      </c>
      <c r="K1074" s="24" t="s">
        <v>31</v>
      </c>
      <c r="L1074" s="106"/>
      <c r="M1074" s="111" t="s">
        <v>845</v>
      </c>
      <c r="N1074" s="106">
        <v>2</v>
      </c>
      <c r="O1074" s="107"/>
      <c r="P1074" s="107">
        <v>58.15</v>
      </c>
      <c r="Q1074" s="28">
        <f>data[[#This Row],[Costo Producto
Proveedor ($/Unid)]]*data[[#This Row],[Cantidad]]</f>
        <v>0</v>
      </c>
      <c r="R1074" s="28">
        <f>data[[#This Row],[Cantidad]]*data[[#This Row],[Precio de Venta Cliente ($/Unid)]]</f>
        <v>116.3</v>
      </c>
      <c r="S1074" s="29"/>
      <c r="T1074" s="109" t="s">
        <v>15</v>
      </c>
      <c r="U1074" s="109"/>
      <c r="V1074" s="30" t="s">
        <v>42</v>
      </c>
      <c r="W1074" s="32" t="s">
        <v>42</v>
      </c>
      <c r="X1074" s="106" t="s">
        <v>23</v>
      </c>
      <c r="Y1074" s="106" t="s">
        <v>23</v>
      </c>
      <c r="Z1074" s="106" t="s">
        <v>12</v>
      </c>
      <c r="AA1074" s="109"/>
    </row>
    <row r="1075" spans="2:27" x14ac:dyDescent="0.25">
      <c r="B1075" s="174"/>
      <c r="C1075" s="174" t="str">
        <f>TEXT(data[[#This Row],[Fecha de Envío
Cotización]],"MMMM")</f>
        <v>abril</v>
      </c>
      <c r="D1075" s="174">
        <v>44308</v>
      </c>
      <c r="E1075" s="174" t="str">
        <f>IF(data[[#This Row],[Estatus de 
Cotización]]="PERDIDO","N/A","")</f>
        <v>N/A</v>
      </c>
      <c r="F1075" s="174"/>
      <c r="G1075" s="109"/>
      <c r="H1075" s="174"/>
      <c r="I1075" s="86">
        <v>511924</v>
      </c>
      <c r="J1075" s="87">
        <v>6005</v>
      </c>
      <c r="K1075" s="24" t="s">
        <v>31</v>
      </c>
      <c r="L1075" s="106"/>
      <c r="M1075" s="108" t="s">
        <v>846</v>
      </c>
      <c r="N1075" s="106">
        <v>2</v>
      </c>
      <c r="O1075" s="107"/>
      <c r="P1075" s="107">
        <v>57.25</v>
      </c>
      <c r="Q1075" s="28">
        <f>data[[#This Row],[Costo Producto
Proveedor ($/Unid)]]*data[[#This Row],[Cantidad]]</f>
        <v>0</v>
      </c>
      <c r="R1075" s="28">
        <f>data[[#This Row],[Cantidad]]*data[[#This Row],[Precio de Venta Cliente ($/Unid)]]</f>
        <v>114.5</v>
      </c>
      <c r="S1075" s="29"/>
      <c r="T1075" s="109" t="s">
        <v>15</v>
      </c>
      <c r="U1075" s="109"/>
      <c r="V1075" s="30" t="s">
        <v>42</v>
      </c>
      <c r="W1075" s="32" t="s">
        <v>42</v>
      </c>
      <c r="X1075" s="106" t="s">
        <v>23</v>
      </c>
      <c r="Y1075" s="106" t="s">
        <v>23</v>
      </c>
      <c r="Z1075" s="106" t="s">
        <v>12</v>
      </c>
      <c r="AA1075" s="109"/>
    </row>
    <row r="1076" spans="2:27" x14ac:dyDescent="0.25">
      <c r="B1076" s="174"/>
      <c r="C1076" s="174" t="str">
        <f>TEXT(data[[#This Row],[Fecha de Envío
Cotización]],"MMMM")</f>
        <v>abril</v>
      </c>
      <c r="D1076" s="174">
        <v>44308</v>
      </c>
      <c r="E1076" s="174" t="str">
        <f>IF(data[[#This Row],[Estatus de 
Cotización]]="PERDIDO","N/A","")</f>
        <v>N/A</v>
      </c>
      <c r="F1076" s="174"/>
      <c r="G1076" s="109"/>
      <c r="H1076" s="174"/>
      <c r="I1076" s="86">
        <v>511925</v>
      </c>
      <c r="J1076" s="87">
        <v>6005</v>
      </c>
      <c r="K1076" s="24" t="s">
        <v>31</v>
      </c>
      <c r="L1076" s="106"/>
      <c r="M1076" s="108" t="s">
        <v>847</v>
      </c>
      <c r="N1076" s="106">
        <v>2</v>
      </c>
      <c r="O1076" s="107"/>
      <c r="P1076" s="107">
        <v>40.450000000000003</v>
      </c>
      <c r="Q1076" s="28">
        <f>data[[#This Row],[Costo Producto
Proveedor ($/Unid)]]*data[[#This Row],[Cantidad]]</f>
        <v>0</v>
      </c>
      <c r="R1076" s="28">
        <f>data[[#This Row],[Cantidad]]*data[[#This Row],[Precio de Venta Cliente ($/Unid)]]</f>
        <v>80.900000000000006</v>
      </c>
      <c r="S1076" s="29"/>
      <c r="T1076" s="109" t="s">
        <v>15</v>
      </c>
      <c r="U1076" s="109"/>
      <c r="V1076" s="30" t="s">
        <v>42</v>
      </c>
      <c r="W1076" s="32" t="s">
        <v>42</v>
      </c>
      <c r="X1076" s="106" t="s">
        <v>23</v>
      </c>
      <c r="Y1076" s="106" t="s">
        <v>23</v>
      </c>
      <c r="Z1076" s="106" t="s">
        <v>12</v>
      </c>
      <c r="AA1076" s="109"/>
    </row>
    <row r="1077" spans="2:27" x14ac:dyDescent="0.25">
      <c r="B1077" s="174"/>
      <c r="C1077" s="174" t="str">
        <f>TEXT(data[[#This Row],[Fecha de Envío
Cotización]],"MMMM")</f>
        <v>abril</v>
      </c>
      <c r="D1077" s="174">
        <v>44308</v>
      </c>
      <c r="E1077" s="174" t="str">
        <f>IF(data[[#This Row],[Estatus de 
Cotización]]="PERDIDO","N/A","")</f>
        <v>N/A</v>
      </c>
      <c r="F1077" s="174"/>
      <c r="G1077" s="109"/>
      <c r="H1077" s="174"/>
      <c r="I1077" s="86">
        <v>511926</v>
      </c>
      <c r="J1077" s="87">
        <v>6005</v>
      </c>
      <c r="K1077" s="24" t="s">
        <v>31</v>
      </c>
      <c r="L1077" s="106"/>
      <c r="M1077" s="108" t="s">
        <v>848</v>
      </c>
      <c r="N1077" s="106">
        <v>2</v>
      </c>
      <c r="O1077" s="107"/>
      <c r="P1077" s="107">
        <v>43.33</v>
      </c>
      <c r="Q1077" s="28">
        <f>data[[#This Row],[Costo Producto
Proveedor ($/Unid)]]*data[[#This Row],[Cantidad]]</f>
        <v>0</v>
      </c>
      <c r="R1077" s="28">
        <f>data[[#This Row],[Cantidad]]*data[[#This Row],[Precio de Venta Cliente ($/Unid)]]</f>
        <v>86.66</v>
      </c>
      <c r="S1077" s="29"/>
      <c r="T1077" s="109" t="s">
        <v>15</v>
      </c>
      <c r="U1077" s="109"/>
      <c r="V1077" s="30" t="s">
        <v>42</v>
      </c>
      <c r="W1077" s="32" t="s">
        <v>42</v>
      </c>
      <c r="X1077" s="106" t="s">
        <v>23</v>
      </c>
      <c r="Y1077" s="106" t="s">
        <v>23</v>
      </c>
      <c r="Z1077" s="106" t="s">
        <v>12</v>
      </c>
      <c r="AA1077" s="109"/>
    </row>
    <row r="1078" spans="2:27" x14ac:dyDescent="0.25">
      <c r="B1078" s="174"/>
      <c r="C1078" s="174" t="str">
        <f>TEXT(data[[#This Row],[Fecha de Envío
Cotización]],"MMMM")</f>
        <v>abril</v>
      </c>
      <c r="D1078" s="174">
        <v>44308</v>
      </c>
      <c r="E1078" s="174" t="str">
        <f>IF(data[[#This Row],[Estatus de 
Cotización]]="PERDIDO","N/A","")</f>
        <v>N/A</v>
      </c>
      <c r="F1078" s="174"/>
      <c r="G1078" s="109"/>
      <c r="H1078" s="174"/>
      <c r="I1078" s="86">
        <v>511927</v>
      </c>
      <c r="J1078" s="87">
        <v>6006</v>
      </c>
      <c r="K1078" s="24" t="s">
        <v>31</v>
      </c>
      <c r="L1078" s="106"/>
      <c r="M1078" s="108" t="s">
        <v>849</v>
      </c>
      <c r="N1078" s="106">
        <v>2</v>
      </c>
      <c r="O1078" s="107"/>
      <c r="P1078" s="107">
        <v>100.41</v>
      </c>
      <c r="Q1078" s="28">
        <f>data[[#This Row],[Costo Producto
Proveedor ($/Unid)]]*data[[#This Row],[Cantidad]]</f>
        <v>0</v>
      </c>
      <c r="R1078" s="28">
        <f>data[[#This Row],[Cantidad]]*data[[#This Row],[Precio de Venta Cliente ($/Unid)]]</f>
        <v>200.82</v>
      </c>
      <c r="S1078" s="29"/>
      <c r="T1078" s="109" t="s">
        <v>22</v>
      </c>
      <c r="U1078" s="109"/>
      <c r="V1078" s="30" t="s">
        <v>42</v>
      </c>
      <c r="W1078" s="32" t="s">
        <v>42</v>
      </c>
      <c r="X1078" s="106" t="s">
        <v>23</v>
      </c>
      <c r="Y1078" s="106" t="s">
        <v>23</v>
      </c>
      <c r="Z1078" s="106" t="s">
        <v>12</v>
      </c>
      <c r="AA1078" s="109"/>
    </row>
    <row r="1079" spans="2:27" x14ac:dyDescent="0.25">
      <c r="B1079" s="174"/>
      <c r="C1079" s="174" t="str">
        <f>TEXT(data[[#This Row],[Fecha de Envío
Cotización]],"MMMM")</f>
        <v>abril</v>
      </c>
      <c r="D1079" s="174">
        <v>44308</v>
      </c>
      <c r="E1079" s="174" t="str">
        <f>IF(data[[#This Row],[Estatus de 
Cotización]]="PERDIDO","N/A","")</f>
        <v>N/A</v>
      </c>
      <c r="F1079" s="174"/>
      <c r="G1079" s="109"/>
      <c r="H1079" s="174"/>
      <c r="I1079" s="86">
        <v>511928</v>
      </c>
      <c r="J1079" s="87">
        <v>6006</v>
      </c>
      <c r="K1079" s="24" t="s">
        <v>31</v>
      </c>
      <c r="L1079" s="106"/>
      <c r="M1079" s="108" t="s">
        <v>850</v>
      </c>
      <c r="N1079" s="106">
        <v>2</v>
      </c>
      <c r="O1079" s="107"/>
      <c r="P1079" s="107">
        <v>61.79</v>
      </c>
      <c r="Q1079" s="28">
        <f>data[[#This Row],[Costo Producto
Proveedor ($/Unid)]]*data[[#This Row],[Cantidad]]</f>
        <v>0</v>
      </c>
      <c r="R1079" s="28">
        <f>data[[#This Row],[Cantidad]]*data[[#This Row],[Precio de Venta Cliente ($/Unid)]]</f>
        <v>123.58</v>
      </c>
      <c r="S1079" s="29"/>
      <c r="T1079" s="109" t="s">
        <v>22</v>
      </c>
      <c r="U1079" s="109"/>
      <c r="V1079" s="30" t="s">
        <v>42</v>
      </c>
      <c r="W1079" s="32" t="s">
        <v>42</v>
      </c>
      <c r="X1079" s="106" t="s">
        <v>23</v>
      </c>
      <c r="Y1079" s="106" t="s">
        <v>23</v>
      </c>
      <c r="Z1079" s="106" t="s">
        <v>12</v>
      </c>
      <c r="AA1079" s="109"/>
    </row>
    <row r="1080" spans="2:27" x14ac:dyDescent="0.25">
      <c r="B1080" s="174"/>
      <c r="C1080" s="174" t="str">
        <f>TEXT(data[[#This Row],[Fecha de Envío
Cotización]],"MMMM")</f>
        <v>abril</v>
      </c>
      <c r="D1080" s="174">
        <v>44308</v>
      </c>
      <c r="E1080" s="174" t="str">
        <f>IF(data[[#This Row],[Estatus de 
Cotización]]="PERDIDO","N/A","")</f>
        <v>N/A</v>
      </c>
      <c r="F1080" s="174"/>
      <c r="G1080" s="109"/>
      <c r="H1080" s="174"/>
      <c r="I1080" s="86">
        <v>511929</v>
      </c>
      <c r="J1080" s="87">
        <v>6006</v>
      </c>
      <c r="K1080" s="24" t="s">
        <v>31</v>
      </c>
      <c r="L1080" s="106"/>
      <c r="M1080" s="108" t="s">
        <v>851</v>
      </c>
      <c r="N1080" s="106">
        <v>2</v>
      </c>
      <c r="O1080" s="107"/>
      <c r="P1080" s="107">
        <v>78.78</v>
      </c>
      <c r="Q1080" s="28">
        <f>data[[#This Row],[Costo Producto
Proveedor ($/Unid)]]*data[[#This Row],[Cantidad]]</f>
        <v>0</v>
      </c>
      <c r="R1080" s="28">
        <f>data[[#This Row],[Cantidad]]*data[[#This Row],[Precio de Venta Cliente ($/Unid)]]</f>
        <v>157.56</v>
      </c>
      <c r="S1080" s="29"/>
      <c r="T1080" s="109" t="s">
        <v>22</v>
      </c>
      <c r="U1080" s="109"/>
      <c r="V1080" s="30" t="s">
        <v>42</v>
      </c>
      <c r="W1080" s="32" t="s">
        <v>42</v>
      </c>
      <c r="X1080" s="106" t="s">
        <v>23</v>
      </c>
      <c r="Y1080" s="106" t="s">
        <v>23</v>
      </c>
      <c r="Z1080" s="106" t="s">
        <v>12</v>
      </c>
      <c r="AA1080" s="109"/>
    </row>
    <row r="1081" spans="2:27" x14ac:dyDescent="0.25">
      <c r="B1081" s="174"/>
      <c r="C1081" s="174" t="str">
        <f>TEXT(data[[#This Row],[Fecha de Envío
Cotización]],"MMMM")</f>
        <v>abril</v>
      </c>
      <c r="D1081" s="174">
        <v>44308</v>
      </c>
      <c r="E1081" s="174" t="str">
        <f>IF(data[[#This Row],[Estatus de 
Cotización]]="PERDIDO","N/A","")</f>
        <v>N/A</v>
      </c>
      <c r="F1081" s="174"/>
      <c r="G1081" s="109"/>
      <c r="H1081" s="174"/>
      <c r="I1081" s="86">
        <v>511930</v>
      </c>
      <c r="J1081" s="87">
        <v>6006</v>
      </c>
      <c r="K1081" s="24" t="s">
        <v>31</v>
      </c>
      <c r="L1081" s="106"/>
      <c r="M1081" s="108" t="s">
        <v>852</v>
      </c>
      <c r="N1081" s="106">
        <v>2</v>
      </c>
      <c r="O1081" s="107"/>
      <c r="P1081" s="107">
        <v>47.4</v>
      </c>
      <c r="Q1081" s="28">
        <f>data[[#This Row],[Costo Producto
Proveedor ($/Unid)]]*data[[#This Row],[Cantidad]]</f>
        <v>0</v>
      </c>
      <c r="R1081" s="28">
        <f>data[[#This Row],[Cantidad]]*data[[#This Row],[Precio de Venta Cliente ($/Unid)]]</f>
        <v>94.8</v>
      </c>
      <c r="S1081" s="29"/>
      <c r="T1081" s="109" t="s">
        <v>22</v>
      </c>
      <c r="U1081" s="109"/>
      <c r="V1081" s="30" t="s">
        <v>42</v>
      </c>
      <c r="W1081" s="32" t="s">
        <v>42</v>
      </c>
      <c r="X1081" s="106" t="s">
        <v>23</v>
      </c>
      <c r="Y1081" s="106" t="s">
        <v>23</v>
      </c>
      <c r="Z1081" s="106" t="s">
        <v>12</v>
      </c>
      <c r="AA1081" s="109"/>
    </row>
    <row r="1082" spans="2:27" x14ac:dyDescent="0.25">
      <c r="B1082" s="174"/>
      <c r="C1082" s="174" t="str">
        <f>TEXT(data[[#This Row],[Fecha de Envío
Cotización]],"MMMM")</f>
        <v>abril</v>
      </c>
      <c r="D1082" s="174">
        <v>44308</v>
      </c>
      <c r="E1082" s="174" t="str">
        <f>IF(data[[#This Row],[Estatus de 
Cotización]]="PERDIDO","N/A","")</f>
        <v>N/A</v>
      </c>
      <c r="F1082" s="174"/>
      <c r="G1082" s="109"/>
      <c r="H1082" s="174"/>
      <c r="I1082" s="86">
        <v>511931</v>
      </c>
      <c r="J1082" s="87">
        <v>6006</v>
      </c>
      <c r="K1082" s="24" t="s">
        <v>31</v>
      </c>
      <c r="L1082" s="106"/>
      <c r="M1082" s="108" t="s">
        <v>853</v>
      </c>
      <c r="N1082" s="106">
        <v>2</v>
      </c>
      <c r="O1082" s="107"/>
      <c r="P1082" s="107">
        <v>46.34</v>
      </c>
      <c r="Q1082" s="28">
        <f>data[[#This Row],[Costo Producto
Proveedor ($/Unid)]]*data[[#This Row],[Cantidad]]</f>
        <v>0</v>
      </c>
      <c r="R1082" s="28">
        <f>data[[#This Row],[Cantidad]]*data[[#This Row],[Precio de Venta Cliente ($/Unid)]]</f>
        <v>92.68</v>
      </c>
      <c r="S1082" s="29"/>
      <c r="T1082" s="109" t="s">
        <v>22</v>
      </c>
      <c r="U1082" s="109"/>
      <c r="V1082" s="30" t="s">
        <v>42</v>
      </c>
      <c r="W1082" s="32" t="s">
        <v>42</v>
      </c>
      <c r="X1082" s="106" t="s">
        <v>23</v>
      </c>
      <c r="Y1082" s="106" t="s">
        <v>23</v>
      </c>
      <c r="Z1082" s="106" t="s">
        <v>12</v>
      </c>
      <c r="AA1082" s="109"/>
    </row>
    <row r="1083" spans="2:27" x14ac:dyDescent="0.25">
      <c r="B1083" s="174"/>
      <c r="C1083" s="174" t="str">
        <f>TEXT(data[[#This Row],[Fecha de Envío
Cotización]],"MMMM")</f>
        <v>abril</v>
      </c>
      <c r="D1083" s="174">
        <v>44314</v>
      </c>
      <c r="E1083" s="174">
        <v>44316</v>
      </c>
      <c r="F1083" s="174"/>
      <c r="G1083" s="109">
        <v>17721</v>
      </c>
      <c r="H1083" s="174">
        <v>44316</v>
      </c>
      <c r="I1083" s="86">
        <v>512019</v>
      </c>
      <c r="J1083" s="87">
        <v>6009</v>
      </c>
      <c r="K1083" s="110" t="s">
        <v>320</v>
      </c>
      <c r="L1083" s="106"/>
      <c r="M1083" s="108" t="s">
        <v>989</v>
      </c>
      <c r="N1083" s="106">
        <v>4</v>
      </c>
      <c r="O1083" s="107"/>
      <c r="P1083" s="107">
        <v>125.69</v>
      </c>
      <c r="Q1083" s="28">
        <f>data[[#This Row],[Costo Producto
Proveedor ($/Unid)]]*data[[#This Row],[Cantidad]]</f>
        <v>0</v>
      </c>
      <c r="R1083" s="121">
        <f>data[[#This Row],[Cantidad]]*data[[#This Row],[Precio de Venta Cliente ($/Unid)]]</f>
        <v>502.76</v>
      </c>
      <c r="S1083" s="29"/>
      <c r="T1083" s="109" t="s">
        <v>15</v>
      </c>
      <c r="U1083" s="109"/>
      <c r="V1083" s="30" t="s">
        <v>44</v>
      </c>
      <c r="W1083" s="32" t="s">
        <v>46</v>
      </c>
      <c r="X1083" s="106" t="s">
        <v>503</v>
      </c>
      <c r="Y1083" s="106" t="s">
        <v>503</v>
      </c>
      <c r="Z1083" s="106" t="s">
        <v>12</v>
      </c>
      <c r="AA1083" s="109"/>
    </row>
    <row r="1084" spans="2:27" x14ac:dyDescent="0.25">
      <c r="B1084" s="174"/>
      <c r="C1084" s="174" t="str">
        <f>TEXT(data[[#This Row],[Fecha de Envío
Cotización]],"MMMM")</f>
        <v>abril</v>
      </c>
      <c r="D1084" s="174">
        <v>44314</v>
      </c>
      <c r="E1084" s="174">
        <v>44316</v>
      </c>
      <c r="F1084" s="174"/>
      <c r="G1084" s="109">
        <v>17722</v>
      </c>
      <c r="H1084" s="174">
        <v>44316</v>
      </c>
      <c r="I1084" s="86">
        <v>512020</v>
      </c>
      <c r="J1084" s="87">
        <v>6009</v>
      </c>
      <c r="K1084" s="110" t="s">
        <v>320</v>
      </c>
      <c r="L1084" s="106"/>
      <c r="M1084" s="108" t="s">
        <v>990</v>
      </c>
      <c r="N1084" s="106">
        <v>4</v>
      </c>
      <c r="O1084" s="107"/>
      <c r="P1084" s="107">
        <v>30.31</v>
      </c>
      <c r="Q1084" s="28">
        <f>data[[#This Row],[Costo Producto
Proveedor ($/Unid)]]*data[[#This Row],[Cantidad]]</f>
        <v>0</v>
      </c>
      <c r="R1084" s="121">
        <f>data[[#This Row],[Cantidad]]*data[[#This Row],[Precio de Venta Cliente ($/Unid)]]</f>
        <v>121.24</v>
      </c>
      <c r="S1084" s="29"/>
      <c r="T1084" s="109" t="s">
        <v>15</v>
      </c>
      <c r="U1084" s="109"/>
      <c r="V1084" s="30" t="s">
        <v>44</v>
      </c>
      <c r="W1084" s="32" t="s">
        <v>46</v>
      </c>
      <c r="X1084" s="106" t="s">
        <v>503</v>
      </c>
      <c r="Y1084" s="106" t="s">
        <v>503</v>
      </c>
      <c r="Z1084" s="106" t="s">
        <v>12</v>
      </c>
      <c r="AA1084" s="109"/>
    </row>
    <row r="1085" spans="2:27" x14ac:dyDescent="0.25">
      <c r="B1085" s="174"/>
      <c r="C1085" s="174" t="str">
        <f>TEXT(data[[#This Row],[Fecha de Envío
Cotización]],"MMMM")</f>
        <v>abril</v>
      </c>
      <c r="D1085" s="174">
        <v>44314</v>
      </c>
      <c r="E1085" s="174">
        <v>44316</v>
      </c>
      <c r="F1085" s="174"/>
      <c r="G1085" s="109">
        <v>17722</v>
      </c>
      <c r="H1085" s="174">
        <v>44316</v>
      </c>
      <c r="I1085" s="86">
        <v>512021</v>
      </c>
      <c r="J1085" s="87">
        <v>6009</v>
      </c>
      <c r="K1085" s="110" t="s">
        <v>320</v>
      </c>
      <c r="L1085" s="106"/>
      <c r="M1085" s="108" t="s">
        <v>991</v>
      </c>
      <c r="N1085" s="106">
        <v>8</v>
      </c>
      <c r="O1085" s="107"/>
      <c r="P1085" s="107">
        <v>65.08</v>
      </c>
      <c r="Q1085" s="28">
        <f>data[[#This Row],[Costo Producto
Proveedor ($/Unid)]]*data[[#This Row],[Cantidad]]</f>
        <v>0</v>
      </c>
      <c r="R1085" s="120">
        <f>data[[#This Row],[Cantidad]]*data[[#This Row],[Precio de Venta Cliente ($/Unid)]]</f>
        <v>520.64</v>
      </c>
      <c r="S1085" s="29"/>
      <c r="T1085" s="109" t="s">
        <v>15</v>
      </c>
      <c r="U1085" s="109"/>
      <c r="V1085" s="30" t="s">
        <v>44</v>
      </c>
      <c r="W1085" s="32" t="s">
        <v>46</v>
      </c>
      <c r="X1085" s="106" t="s">
        <v>503</v>
      </c>
      <c r="Y1085" s="106" t="s">
        <v>503</v>
      </c>
      <c r="Z1085" s="106" t="s">
        <v>12</v>
      </c>
      <c r="AA1085" s="109"/>
    </row>
    <row r="1086" spans="2:27" x14ac:dyDescent="0.25">
      <c r="B1086" s="174"/>
      <c r="C1086" s="174" t="str">
        <f>TEXT(data[[#This Row],[Fecha de Envío
Cotización]],"MMMM")</f>
        <v>abril</v>
      </c>
      <c r="D1086" s="174">
        <v>44314</v>
      </c>
      <c r="E1086" s="174" t="str">
        <f>IF(data[[#This Row],[Estatus de 
Cotización]]="PERDIDO","N/A","")</f>
        <v>N/A</v>
      </c>
      <c r="F1086" s="174"/>
      <c r="G1086" s="109"/>
      <c r="H1086" s="174"/>
      <c r="I1086" s="86">
        <v>512022</v>
      </c>
      <c r="J1086" s="87">
        <v>6011</v>
      </c>
      <c r="K1086" s="24" t="s">
        <v>113</v>
      </c>
      <c r="L1086" s="27"/>
      <c r="M1086" s="108" t="s">
        <v>992</v>
      </c>
      <c r="N1086" s="106">
        <v>1</v>
      </c>
      <c r="O1086" s="107"/>
      <c r="P1086" s="107">
        <v>844.2</v>
      </c>
      <c r="Q1086" s="28">
        <f>data[[#This Row],[Costo Producto
Proveedor ($/Unid)]]*data[[#This Row],[Cantidad]]</f>
        <v>0</v>
      </c>
      <c r="R1086" s="28">
        <f>data[[#This Row],[Cantidad]]*data[[#This Row],[Precio de Venta Cliente ($/Unid)]]</f>
        <v>844.2</v>
      </c>
      <c r="S1086" s="29"/>
      <c r="T1086" s="109" t="s">
        <v>36</v>
      </c>
      <c r="U1086" s="109"/>
      <c r="V1086" s="30" t="s">
        <v>42</v>
      </c>
      <c r="W1086" s="32" t="s">
        <v>42</v>
      </c>
      <c r="X1086" s="106" t="s">
        <v>23</v>
      </c>
      <c r="Y1086" s="106" t="s">
        <v>23</v>
      </c>
      <c r="Z1086" s="106" t="s">
        <v>12</v>
      </c>
      <c r="AA1086" s="109"/>
    </row>
    <row r="1087" spans="2:27" x14ac:dyDescent="0.25">
      <c r="B1087" s="174"/>
      <c r="C1087" s="174" t="str">
        <f>TEXT(data[[#This Row],[Fecha de Envío
Cotización]],"MMMM")</f>
        <v>abril</v>
      </c>
      <c r="D1087" s="174">
        <v>44314</v>
      </c>
      <c r="E1087" s="174" t="str">
        <f>IF(data[[#This Row],[Estatus de 
Cotización]]="PERDIDO","N/A","")</f>
        <v>N/A</v>
      </c>
      <c r="F1087" s="174"/>
      <c r="G1087" s="109"/>
      <c r="H1087" s="174"/>
      <c r="I1087" s="86">
        <v>512023</v>
      </c>
      <c r="J1087" s="87">
        <v>6012</v>
      </c>
      <c r="K1087" s="24" t="s">
        <v>130</v>
      </c>
      <c r="L1087" s="27"/>
      <c r="M1087" s="108" t="s">
        <v>993</v>
      </c>
      <c r="N1087" s="106">
        <v>50</v>
      </c>
      <c r="O1087" s="107"/>
      <c r="P1087" s="107">
        <v>26.58</v>
      </c>
      <c r="Q1087" s="28">
        <f>data[[#This Row],[Costo Producto
Proveedor ($/Unid)]]*data[[#This Row],[Cantidad]]</f>
        <v>0</v>
      </c>
      <c r="R1087" s="28">
        <f>data[[#This Row],[Cantidad]]*data[[#This Row],[Precio de Venta Cliente ($/Unid)]]</f>
        <v>1329</v>
      </c>
      <c r="S1087" s="29"/>
      <c r="T1087" s="109" t="s">
        <v>36</v>
      </c>
      <c r="U1087" s="109"/>
      <c r="V1087" s="30" t="s">
        <v>42</v>
      </c>
      <c r="W1087" s="32" t="s">
        <v>42</v>
      </c>
      <c r="X1087" s="106" t="s">
        <v>23</v>
      </c>
      <c r="Y1087" s="106" t="s">
        <v>23</v>
      </c>
      <c r="Z1087" s="106" t="s">
        <v>12</v>
      </c>
      <c r="AA1087" s="109"/>
    </row>
    <row r="1088" spans="2:27" x14ac:dyDescent="0.25">
      <c r="B1088" s="174"/>
      <c r="C1088" s="174" t="str">
        <f>TEXT(data[[#This Row],[Fecha de Envío
Cotización]],"MMMM")</f>
        <v>mayo</v>
      </c>
      <c r="D1088" s="174">
        <v>44320</v>
      </c>
      <c r="E1088" s="174" t="str">
        <f>IF(data[[#This Row],[Estatus de 
Cotización]]="PERDIDO","N/A","")</f>
        <v/>
      </c>
      <c r="F1088" s="174"/>
      <c r="G1088" s="109"/>
      <c r="H1088" s="174"/>
      <c r="I1088" s="86">
        <v>512075</v>
      </c>
      <c r="J1088" s="87">
        <v>6013</v>
      </c>
      <c r="K1088" s="24" t="s">
        <v>31</v>
      </c>
      <c r="L1088" s="106"/>
      <c r="M1088" s="108" t="s">
        <v>1143</v>
      </c>
      <c r="N1088" s="106">
        <v>12</v>
      </c>
      <c r="O1088" s="107"/>
      <c r="P1088" s="27">
        <v>50.72</v>
      </c>
      <c r="Q1088" s="28">
        <f>data[[#This Row],[Costo Producto
Proveedor ($/Unid)]]*data[[#This Row],[Cantidad]]</f>
        <v>0</v>
      </c>
      <c r="R1088" s="28">
        <f>data[[#This Row],[Cantidad]]*data[[#This Row],[Precio de Venta Cliente ($/Unid)]]</f>
        <v>608.64</v>
      </c>
      <c r="S1088" s="29"/>
      <c r="T1088" s="106" t="s">
        <v>1145</v>
      </c>
      <c r="U1088" s="106"/>
      <c r="V1088" s="30" t="s">
        <v>46</v>
      </c>
      <c r="W1088" s="32" t="s">
        <v>46</v>
      </c>
      <c r="X1088" s="106" t="s">
        <v>503</v>
      </c>
      <c r="Y1088" s="106" t="s">
        <v>503</v>
      </c>
      <c r="Z1088" s="106" t="s">
        <v>12</v>
      </c>
      <c r="AA1088" s="106"/>
    </row>
    <row r="1089" spans="2:27" x14ac:dyDescent="0.25">
      <c r="B1089" s="174"/>
      <c r="C1089" s="174" t="str">
        <f>TEXT(data[[#This Row],[Fecha de Envío
Cotización]],"MMMM")</f>
        <v>mayo</v>
      </c>
      <c r="D1089" s="174">
        <v>44320</v>
      </c>
      <c r="E1089" s="174" t="str">
        <f>IF(data[[#This Row],[Estatus de 
Cotización]]="PERDIDO","N/A","")</f>
        <v/>
      </c>
      <c r="F1089" s="174"/>
      <c r="G1089" s="109"/>
      <c r="H1089" s="174"/>
      <c r="I1089" s="86">
        <v>512076</v>
      </c>
      <c r="J1089" s="87">
        <v>6014</v>
      </c>
      <c r="K1089" s="24" t="s">
        <v>31</v>
      </c>
      <c r="L1089" s="106"/>
      <c r="M1089" s="108" t="s">
        <v>1144</v>
      </c>
      <c r="N1089" s="106">
        <v>12</v>
      </c>
      <c r="O1089" s="107"/>
      <c r="P1089" s="27">
        <v>75.2</v>
      </c>
      <c r="Q1089" s="28">
        <f>data[[#This Row],[Costo Producto
Proveedor ($/Unid)]]*data[[#This Row],[Cantidad]]</f>
        <v>0</v>
      </c>
      <c r="R1089" s="28">
        <f>data[[#This Row],[Cantidad]]*data[[#This Row],[Precio de Venta Cliente ($/Unid)]]</f>
        <v>902.40000000000009</v>
      </c>
      <c r="S1089" s="29"/>
      <c r="T1089" s="106" t="s">
        <v>119</v>
      </c>
      <c r="U1089" s="106"/>
      <c r="V1089" s="30" t="s">
        <v>46</v>
      </c>
      <c r="W1089" s="32" t="s">
        <v>46</v>
      </c>
      <c r="X1089" s="106" t="s">
        <v>503</v>
      </c>
      <c r="Y1089" s="106" t="s">
        <v>503</v>
      </c>
      <c r="Z1089" s="106" t="s">
        <v>12</v>
      </c>
      <c r="AA1089" s="106"/>
    </row>
    <row r="1090" spans="2:27" x14ac:dyDescent="0.25">
      <c r="B1090" s="174"/>
      <c r="C1090" s="174" t="str">
        <f>TEXT(data[[#This Row],[Fecha de Envío
Cotización]],"MMMM")</f>
        <v>mayo</v>
      </c>
      <c r="D1090" s="174">
        <v>44320</v>
      </c>
      <c r="E1090" s="174" t="str">
        <f>IF(data[[#This Row],[Estatus de 
Cotización]]="PERDIDO","N/A","")</f>
        <v>N/A</v>
      </c>
      <c r="F1090" s="174"/>
      <c r="G1090" s="109"/>
      <c r="H1090" s="174"/>
      <c r="I1090" s="86">
        <v>512077</v>
      </c>
      <c r="J1090" s="87">
        <v>20165</v>
      </c>
      <c r="K1090" s="24" t="s">
        <v>1259</v>
      </c>
      <c r="L1090" s="106"/>
      <c r="M1090" s="108" t="s">
        <v>1260</v>
      </c>
      <c r="N1090" s="106">
        <v>1000</v>
      </c>
      <c r="O1090" s="107"/>
      <c r="P1090" s="27">
        <v>5.8</v>
      </c>
      <c r="Q1090" s="28">
        <f>data[[#This Row],[Costo Producto
Proveedor ($/Unid)]]*data[[#This Row],[Cantidad]]</f>
        <v>0</v>
      </c>
      <c r="R1090" s="28">
        <f>data[[#This Row],[Cantidad]]*data[[#This Row],[Precio de Venta Cliente ($/Unid)]]</f>
        <v>5800</v>
      </c>
      <c r="S1090" s="29"/>
      <c r="T1090" s="106" t="s">
        <v>22</v>
      </c>
      <c r="U1090" s="106"/>
      <c r="V1090" s="30" t="s">
        <v>42</v>
      </c>
      <c r="W1090" s="32" t="s">
        <v>42</v>
      </c>
      <c r="X1090" s="106" t="s">
        <v>23</v>
      </c>
      <c r="Y1090" s="106" t="s">
        <v>23</v>
      </c>
      <c r="Z1090" s="106" t="s">
        <v>12</v>
      </c>
      <c r="AA1090" s="106"/>
    </row>
    <row r="1091" spans="2:27" x14ac:dyDescent="0.25">
      <c r="B1091" s="174"/>
      <c r="C1091" s="174" t="str">
        <f>TEXT(data[[#This Row],[Fecha de Envío
Cotización]],"MMMM")</f>
        <v>mayo</v>
      </c>
      <c r="D1091" s="174">
        <v>44320</v>
      </c>
      <c r="E1091" s="174" t="str">
        <f>IF(data[[#This Row],[Estatus de 
Cotización]]="PERDIDO","N/A","")</f>
        <v>N/A</v>
      </c>
      <c r="F1091" s="174"/>
      <c r="G1091" s="109"/>
      <c r="H1091" s="174"/>
      <c r="I1091" s="86">
        <v>512078</v>
      </c>
      <c r="J1091" s="87">
        <v>20165</v>
      </c>
      <c r="K1091" s="24" t="s">
        <v>1259</v>
      </c>
      <c r="L1091" s="106"/>
      <c r="M1091" s="105" t="s">
        <v>1261</v>
      </c>
      <c r="N1091" s="106">
        <v>700</v>
      </c>
      <c r="O1091" s="107"/>
      <c r="P1091" s="27">
        <v>6</v>
      </c>
      <c r="Q1091" s="28">
        <f>data[[#This Row],[Costo Producto
Proveedor ($/Unid)]]*data[[#This Row],[Cantidad]]</f>
        <v>0</v>
      </c>
      <c r="R1091" s="28">
        <f>data[[#This Row],[Cantidad]]*data[[#This Row],[Precio de Venta Cliente ($/Unid)]]</f>
        <v>4200</v>
      </c>
      <c r="S1091" s="29"/>
      <c r="T1091" s="106" t="s">
        <v>22</v>
      </c>
      <c r="U1091" s="106"/>
      <c r="V1091" s="30" t="s">
        <v>42</v>
      </c>
      <c r="W1091" s="32" t="s">
        <v>42</v>
      </c>
      <c r="X1091" s="106" t="s">
        <v>23</v>
      </c>
      <c r="Y1091" s="106" t="s">
        <v>23</v>
      </c>
      <c r="Z1091" s="106" t="s">
        <v>12</v>
      </c>
      <c r="AA1091" s="106"/>
    </row>
    <row r="1092" spans="2:27" x14ac:dyDescent="0.25">
      <c r="B1092" s="174"/>
      <c r="C1092" s="174" t="str">
        <f>TEXT(data[[#This Row],[Fecha de Envío
Cotización]],"MMMM")</f>
        <v>mayo</v>
      </c>
      <c r="D1092" s="174">
        <v>44320</v>
      </c>
      <c r="E1092" s="174" t="str">
        <f>IF(data[[#This Row],[Estatus de 
Cotización]]="PERDIDO","N/A","")</f>
        <v>N/A</v>
      </c>
      <c r="F1092" s="174"/>
      <c r="G1092" s="109"/>
      <c r="H1092" s="174"/>
      <c r="I1092" s="86">
        <v>512079</v>
      </c>
      <c r="J1092" s="87">
        <v>20165</v>
      </c>
      <c r="K1092" s="24" t="s">
        <v>1259</v>
      </c>
      <c r="L1092" s="106"/>
      <c r="M1092" s="105" t="s">
        <v>1262</v>
      </c>
      <c r="N1092" s="106">
        <v>50</v>
      </c>
      <c r="O1092" s="107"/>
      <c r="P1092" s="27">
        <v>2.54</v>
      </c>
      <c r="Q1092" s="28">
        <f>data[[#This Row],[Costo Producto
Proveedor ($/Unid)]]*data[[#This Row],[Cantidad]]</f>
        <v>0</v>
      </c>
      <c r="R1092" s="28">
        <f>data[[#This Row],[Cantidad]]*data[[#This Row],[Precio de Venta Cliente ($/Unid)]]</f>
        <v>127</v>
      </c>
      <c r="S1092" s="29"/>
      <c r="T1092" s="106" t="s">
        <v>22</v>
      </c>
      <c r="U1092" s="106"/>
      <c r="V1092" s="30" t="s">
        <v>42</v>
      </c>
      <c r="W1092" s="32" t="s">
        <v>42</v>
      </c>
      <c r="X1092" s="106" t="s">
        <v>23</v>
      </c>
      <c r="Y1092" s="106" t="s">
        <v>23</v>
      </c>
      <c r="Z1092" s="106" t="s">
        <v>12</v>
      </c>
      <c r="AA1092" s="106"/>
    </row>
    <row r="1093" spans="2:27" x14ac:dyDescent="0.25">
      <c r="B1093" s="174"/>
      <c r="C1093" s="174" t="str">
        <f>TEXT(data[[#This Row],[Fecha de Envío
Cotización]],"MMMM")</f>
        <v>mayo</v>
      </c>
      <c r="D1093" s="174">
        <v>44320</v>
      </c>
      <c r="E1093" s="174" t="str">
        <f>IF(data[[#This Row],[Estatus de 
Cotización]]="PERDIDO","N/A","")</f>
        <v>N/A</v>
      </c>
      <c r="F1093" s="174"/>
      <c r="G1093" s="109"/>
      <c r="H1093" s="174"/>
      <c r="I1093" s="86">
        <v>512080</v>
      </c>
      <c r="J1093" s="87">
        <v>20165</v>
      </c>
      <c r="K1093" s="24" t="s">
        <v>1259</v>
      </c>
      <c r="L1093" s="106"/>
      <c r="M1093" s="105" t="s">
        <v>1263</v>
      </c>
      <c r="N1093" s="106">
        <v>50</v>
      </c>
      <c r="O1093" s="107"/>
      <c r="P1093" s="27">
        <v>2.54</v>
      </c>
      <c r="Q1093" s="28">
        <f>data[[#This Row],[Costo Producto
Proveedor ($/Unid)]]*data[[#This Row],[Cantidad]]</f>
        <v>0</v>
      </c>
      <c r="R1093" s="28">
        <f>data[[#This Row],[Cantidad]]*data[[#This Row],[Precio de Venta Cliente ($/Unid)]]</f>
        <v>127</v>
      </c>
      <c r="S1093" s="29"/>
      <c r="T1093" s="106" t="s">
        <v>119</v>
      </c>
      <c r="U1093" s="106"/>
      <c r="V1093" s="30" t="s">
        <v>42</v>
      </c>
      <c r="W1093" s="32" t="s">
        <v>42</v>
      </c>
      <c r="X1093" s="106" t="s">
        <v>23</v>
      </c>
      <c r="Y1093" s="106" t="s">
        <v>23</v>
      </c>
      <c r="Z1093" s="106" t="s">
        <v>12</v>
      </c>
      <c r="AA1093" s="106"/>
    </row>
    <row r="1094" spans="2:27" x14ac:dyDescent="0.25">
      <c r="B1094" s="174"/>
      <c r="C1094" s="174" t="str">
        <f>TEXT(data[[#This Row],[Fecha de Envío
Cotización]],"MMMM")</f>
        <v>mayo</v>
      </c>
      <c r="D1094" s="174">
        <v>44320</v>
      </c>
      <c r="E1094" s="174" t="str">
        <f>IF(data[[#This Row],[Estatus de 
Cotización]]="PERDIDO","N/A","")</f>
        <v>N/A</v>
      </c>
      <c r="F1094" s="174"/>
      <c r="G1094" s="109"/>
      <c r="H1094" s="174"/>
      <c r="I1094" s="86">
        <v>512081</v>
      </c>
      <c r="J1094" s="87">
        <v>20165</v>
      </c>
      <c r="K1094" s="24" t="s">
        <v>1259</v>
      </c>
      <c r="L1094" s="106"/>
      <c r="M1094" s="105" t="s">
        <v>1264</v>
      </c>
      <c r="N1094" s="106">
        <v>1</v>
      </c>
      <c r="O1094" s="107"/>
      <c r="P1094" s="27">
        <v>2620</v>
      </c>
      <c r="Q1094" s="28">
        <f>data[[#This Row],[Costo Producto
Proveedor ($/Unid)]]*data[[#This Row],[Cantidad]]</f>
        <v>0</v>
      </c>
      <c r="R1094" s="28">
        <f>data[[#This Row],[Cantidad]]*data[[#This Row],[Precio de Venta Cliente ($/Unid)]]</f>
        <v>2620</v>
      </c>
      <c r="S1094" s="29"/>
      <c r="T1094" s="106" t="s">
        <v>119</v>
      </c>
      <c r="U1094" s="106"/>
      <c r="V1094" s="30" t="s">
        <v>42</v>
      </c>
      <c r="W1094" s="32" t="s">
        <v>42</v>
      </c>
      <c r="X1094" s="106" t="s">
        <v>23</v>
      </c>
      <c r="Y1094" s="106" t="s">
        <v>23</v>
      </c>
      <c r="Z1094" s="106" t="s">
        <v>12</v>
      </c>
      <c r="AA1094" s="106"/>
    </row>
    <row r="1095" spans="2:27" x14ac:dyDescent="0.25">
      <c r="B1095" s="174"/>
      <c r="C1095" s="174" t="str">
        <f>TEXT(data[[#This Row],[Fecha de Envío
Cotización]],"MMMM")</f>
        <v>mayo</v>
      </c>
      <c r="D1095" s="174">
        <v>44320</v>
      </c>
      <c r="E1095" s="130" t="str">
        <f>IF(data[[#This Row],[Estatus de 
Cotización]]="PERDIDO","N/A","")</f>
        <v>N/A</v>
      </c>
      <c r="F1095" s="174"/>
      <c r="G1095" s="109"/>
      <c r="H1095" s="174"/>
      <c r="I1095" s="86">
        <v>512082</v>
      </c>
      <c r="J1095" s="87">
        <v>20165</v>
      </c>
      <c r="K1095" s="24" t="s">
        <v>1259</v>
      </c>
      <c r="L1095" s="106"/>
      <c r="M1095" s="105" t="s">
        <v>1265</v>
      </c>
      <c r="N1095" s="106">
        <v>2</v>
      </c>
      <c r="O1095" s="107"/>
      <c r="P1095" s="27">
        <v>1009.8</v>
      </c>
      <c r="Q1095" s="28">
        <f>data[[#This Row],[Costo Producto
Proveedor ($/Unid)]]*data[[#This Row],[Cantidad]]</f>
        <v>0</v>
      </c>
      <c r="R1095" s="28">
        <f>data[[#This Row],[Cantidad]]*data[[#This Row],[Precio de Venta Cliente ($/Unid)]]</f>
        <v>2019.6</v>
      </c>
      <c r="S1095" s="29"/>
      <c r="T1095" s="106" t="s">
        <v>119</v>
      </c>
      <c r="U1095" s="106"/>
      <c r="V1095" s="30" t="s">
        <v>42</v>
      </c>
      <c r="W1095" s="32" t="s">
        <v>42</v>
      </c>
      <c r="X1095" s="106" t="s">
        <v>23</v>
      </c>
      <c r="Y1095" s="106" t="s">
        <v>23</v>
      </c>
      <c r="Z1095" s="106" t="s">
        <v>12</v>
      </c>
      <c r="AA1095" s="106"/>
    </row>
    <row r="1096" spans="2:27" x14ac:dyDescent="0.25">
      <c r="B1096" s="174"/>
      <c r="C1096" s="174" t="str">
        <f>TEXT(data[[#This Row],[Fecha de Envío
Cotización]],"MMMM")</f>
        <v>mayo</v>
      </c>
      <c r="D1096" s="174">
        <v>44321</v>
      </c>
      <c r="E1096" s="174" t="str">
        <f>IF(data[[#This Row],[Estatus de 
Cotización]]="PERDIDO","N/A","")</f>
        <v>N/A</v>
      </c>
      <c r="F1096" s="174"/>
      <c r="G1096" s="109"/>
      <c r="H1096" s="174"/>
      <c r="I1096" s="86">
        <v>512090</v>
      </c>
      <c r="J1096" s="87">
        <v>6016</v>
      </c>
      <c r="K1096" s="24" t="s">
        <v>130</v>
      </c>
      <c r="L1096" s="106"/>
      <c r="M1096" s="108" t="s">
        <v>1257</v>
      </c>
      <c r="N1096" s="106">
        <v>3</v>
      </c>
      <c r="O1096" s="107"/>
      <c r="P1096" s="107">
        <v>68.67</v>
      </c>
      <c r="Q1096" s="28">
        <f>data[[#This Row],[Costo Producto
Proveedor ($/Unid)]]*data[[#This Row],[Cantidad]]</f>
        <v>0</v>
      </c>
      <c r="R1096" s="28">
        <f>data[[#This Row],[Cantidad]]*data[[#This Row],[Precio de Venta Cliente ($/Unid)]]</f>
        <v>206.01</v>
      </c>
      <c r="S1096" s="29"/>
      <c r="T1096" s="109" t="s">
        <v>119</v>
      </c>
      <c r="U1096" s="109"/>
      <c r="V1096" s="30" t="s">
        <v>42</v>
      </c>
      <c r="W1096" s="32" t="s">
        <v>42</v>
      </c>
      <c r="X1096" s="106" t="s">
        <v>23</v>
      </c>
      <c r="Y1096" s="106" t="s">
        <v>23</v>
      </c>
      <c r="Z1096" s="106" t="s">
        <v>12</v>
      </c>
      <c r="AA1096" s="109"/>
    </row>
    <row r="1097" spans="2:27" x14ac:dyDescent="0.25">
      <c r="B1097" s="174"/>
      <c r="C1097" s="174" t="str">
        <f>TEXT(data[[#This Row],[Fecha de Envío
Cotización]],"MMMM")</f>
        <v>mayo</v>
      </c>
      <c r="D1097" s="174">
        <v>44322</v>
      </c>
      <c r="E1097" s="174" t="str">
        <f>IF(data[[#This Row],[Estatus de 
Cotización]]="PERDIDO","N/A","")</f>
        <v/>
      </c>
      <c r="F1097" s="174"/>
      <c r="G1097" s="109"/>
      <c r="H1097" s="174"/>
      <c r="I1097" s="86">
        <v>512117</v>
      </c>
      <c r="J1097" s="87">
        <v>6018</v>
      </c>
      <c r="K1097" s="24" t="s">
        <v>31</v>
      </c>
      <c r="L1097" s="106"/>
      <c r="M1097" s="108" t="s">
        <v>1283</v>
      </c>
      <c r="N1097" s="106">
        <v>80</v>
      </c>
      <c r="O1097" s="107"/>
      <c r="P1097" s="27">
        <v>22.12</v>
      </c>
      <c r="Q1097" s="28">
        <f>data[[#This Row],[Costo Producto
Proveedor ($/Unid)]]*data[[#This Row],[Cantidad]]</f>
        <v>0</v>
      </c>
      <c r="R1097" s="28">
        <f>data[[#This Row],[Cantidad]]*data[[#This Row],[Precio de Venta Cliente ($/Unid)]]</f>
        <v>1769.6000000000001</v>
      </c>
      <c r="S1097" s="29"/>
      <c r="T1097" s="109" t="s">
        <v>22</v>
      </c>
      <c r="U1097" s="109"/>
      <c r="V1097" s="30" t="s">
        <v>46</v>
      </c>
      <c r="W1097" s="32" t="s">
        <v>46</v>
      </c>
      <c r="X1097" s="106" t="s">
        <v>503</v>
      </c>
      <c r="Y1097" s="106" t="s">
        <v>503</v>
      </c>
      <c r="Z1097" s="106" t="s">
        <v>12</v>
      </c>
      <c r="AA1097" s="109"/>
    </row>
    <row r="1098" spans="2:27" x14ac:dyDescent="0.25">
      <c r="B1098" s="174"/>
      <c r="C1098" s="174" t="str">
        <f>TEXT(data[[#This Row],[Fecha de Envío
Cotización]],"MMMM")</f>
        <v>mayo</v>
      </c>
      <c r="D1098" s="174">
        <v>44322</v>
      </c>
      <c r="E1098" s="174" t="str">
        <f>IF(data[[#This Row],[Estatus de 
Cotización]]="PERDIDO","N/A","")</f>
        <v/>
      </c>
      <c r="F1098" s="174"/>
      <c r="G1098" s="109"/>
      <c r="H1098" s="174"/>
      <c r="I1098" s="86">
        <v>512118</v>
      </c>
      <c r="J1098" s="87">
        <v>6018</v>
      </c>
      <c r="K1098" s="24" t="s">
        <v>31</v>
      </c>
      <c r="L1098" s="106"/>
      <c r="M1098" s="108" t="s">
        <v>1284</v>
      </c>
      <c r="N1098" s="106">
        <v>80</v>
      </c>
      <c r="O1098" s="107"/>
      <c r="P1098" s="27">
        <v>12.53</v>
      </c>
      <c r="Q1098" s="28">
        <f>data[[#This Row],[Costo Producto
Proveedor ($/Unid)]]*data[[#This Row],[Cantidad]]</f>
        <v>0</v>
      </c>
      <c r="R1098" s="28">
        <f>data[[#This Row],[Cantidad]]*data[[#This Row],[Precio de Venta Cliente ($/Unid)]]</f>
        <v>1002.4</v>
      </c>
      <c r="S1098" s="29"/>
      <c r="T1098" s="109" t="s">
        <v>22</v>
      </c>
      <c r="U1098" s="109"/>
      <c r="V1098" s="30" t="s">
        <v>46</v>
      </c>
      <c r="W1098" s="32" t="s">
        <v>46</v>
      </c>
      <c r="X1098" s="106" t="s">
        <v>503</v>
      </c>
      <c r="Y1098" s="106" t="s">
        <v>503</v>
      </c>
      <c r="Z1098" s="106" t="s">
        <v>12</v>
      </c>
      <c r="AA1098" s="109"/>
    </row>
    <row r="1099" spans="2:27" x14ac:dyDescent="0.25">
      <c r="B1099" s="174"/>
      <c r="C1099" s="174" t="str">
        <f>TEXT(data[[#This Row],[Fecha de Envío
Cotización]],"MMMM")</f>
        <v>mayo</v>
      </c>
      <c r="D1099" s="174">
        <v>44322</v>
      </c>
      <c r="E1099" s="174" t="str">
        <f>IF(data[[#This Row],[Estatus de 
Cotización]]="PERDIDO","N/A","")</f>
        <v>N/A</v>
      </c>
      <c r="F1099" s="174"/>
      <c r="G1099" s="109"/>
      <c r="H1099" s="174"/>
      <c r="I1099" s="86">
        <v>512119</v>
      </c>
      <c r="J1099" s="87">
        <v>6020</v>
      </c>
      <c r="K1099" s="24" t="s">
        <v>130</v>
      </c>
      <c r="L1099" s="106"/>
      <c r="M1099" s="105" t="s">
        <v>1285</v>
      </c>
      <c r="N1099" s="106">
        <v>3</v>
      </c>
      <c r="O1099" s="107"/>
      <c r="P1099" s="27">
        <v>43.05</v>
      </c>
      <c r="Q1099" s="28">
        <f>data[[#This Row],[Costo Producto
Proveedor ($/Unid)]]*data[[#This Row],[Cantidad]]</f>
        <v>0</v>
      </c>
      <c r="R1099" s="28">
        <f>data[[#This Row],[Cantidad]]*data[[#This Row],[Precio de Venta Cliente ($/Unid)]]</f>
        <v>129.14999999999998</v>
      </c>
      <c r="S1099" s="29"/>
      <c r="T1099" s="109" t="s">
        <v>22</v>
      </c>
      <c r="U1099" s="109"/>
      <c r="V1099" s="30" t="s">
        <v>42</v>
      </c>
      <c r="W1099" s="32" t="s">
        <v>42</v>
      </c>
      <c r="X1099" s="106" t="s">
        <v>23</v>
      </c>
      <c r="Y1099" s="106" t="s">
        <v>23</v>
      </c>
      <c r="Z1099" s="106" t="s">
        <v>12</v>
      </c>
      <c r="AA1099" s="109"/>
    </row>
    <row r="1100" spans="2:27" x14ac:dyDescent="0.25">
      <c r="B1100" s="174"/>
      <c r="C1100" s="174" t="str">
        <f>TEXT(data[[#This Row],[Fecha de Envío
Cotización]],"MMMM")</f>
        <v>mayo</v>
      </c>
      <c r="D1100" s="174">
        <v>44322</v>
      </c>
      <c r="E1100" s="174" t="str">
        <f>IF(data[[#This Row],[Estatus de 
Cotización]]="PERDIDO","N/A","")</f>
        <v>N/A</v>
      </c>
      <c r="F1100" s="174"/>
      <c r="G1100" s="109"/>
      <c r="H1100" s="174"/>
      <c r="I1100" s="86">
        <v>512120</v>
      </c>
      <c r="J1100" s="87">
        <v>6020</v>
      </c>
      <c r="K1100" s="24" t="s">
        <v>130</v>
      </c>
      <c r="L1100" s="106"/>
      <c r="M1100" s="105" t="s">
        <v>1286</v>
      </c>
      <c r="N1100" s="106">
        <v>3</v>
      </c>
      <c r="O1100" s="107"/>
      <c r="P1100" s="27">
        <v>49.98</v>
      </c>
      <c r="Q1100" s="28">
        <f>data[[#This Row],[Costo Producto
Proveedor ($/Unid)]]*data[[#This Row],[Cantidad]]</f>
        <v>0</v>
      </c>
      <c r="R1100" s="28">
        <f>data[[#This Row],[Cantidad]]*data[[#This Row],[Precio de Venta Cliente ($/Unid)]]</f>
        <v>149.94</v>
      </c>
      <c r="S1100" s="29"/>
      <c r="T1100" s="109" t="s">
        <v>22</v>
      </c>
      <c r="U1100" s="109"/>
      <c r="V1100" s="30" t="s">
        <v>42</v>
      </c>
      <c r="W1100" s="32" t="s">
        <v>42</v>
      </c>
      <c r="X1100" s="106" t="s">
        <v>23</v>
      </c>
      <c r="Y1100" s="106" t="s">
        <v>23</v>
      </c>
      <c r="Z1100" s="106" t="s">
        <v>12</v>
      </c>
      <c r="AA1100" s="109"/>
    </row>
    <row r="1101" spans="2:27" x14ac:dyDescent="0.25">
      <c r="B1101" s="174"/>
      <c r="C1101" s="174" t="str">
        <f>TEXT(data[[#This Row],[Fecha de Envío
Cotización]],"MMMM")</f>
        <v>mayo</v>
      </c>
      <c r="D1101" s="174">
        <v>44323</v>
      </c>
      <c r="E1101" s="174" t="str">
        <f>IF(data[[#This Row],[Estatus de 
Cotización]]="PERDIDO","N/A","")</f>
        <v>N/A</v>
      </c>
      <c r="F1101" s="174"/>
      <c r="G1101" s="109"/>
      <c r="H1101" s="174"/>
      <c r="I1101" s="86">
        <v>512123</v>
      </c>
      <c r="J1101" s="87">
        <v>6021</v>
      </c>
      <c r="K1101" s="24" t="s">
        <v>130</v>
      </c>
      <c r="L1101" s="106"/>
      <c r="M1101" s="105" t="s">
        <v>1353</v>
      </c>
      <c r="N1101" s="106">
        <v>50</v>
      </c>
      <c r="O1101" s="107"/>
      <c r="P1101" s="27">
        <v>8.7799999999999994</v>
      </c>
      <c r="Q1101" s="28">
        <f>data[[#This Row],[Costo Producto
Proveedor ($/Unid)]]*data[[#This Row],[Cantidad]]</f>
        <v>0</v>
      </c>
      <c r="R1101" s="28">
        <f>data[[#This Row],[Cantidad]]*data[[#This Row],[Precio de Venta Cliente ($/Unid)]]</f>
        <v>438.99999999999994</v>
      </c>
      <c r="S1101" s="29"/>
      <c r="T1101" s="109" t="s">
        <v>15</v>
      </c>
      <c r="U1101" s="109"/>
      <c r="V1101" s="30" t="s">
        <v>42</v>
      </c>
      <c r="W1101" s="32" t="s">
        <v>42</v>
      </c>
      <c r="X1101" s="106" t="s">
        <v>23</v>
      </c>
      <c r="Y1101" s="106" t="s">
        <v>23</v>
      </c>
      <c r="Z1101" s="106" t="s">
        <v>12</v>
      </c>
      <c r="AA1101" s="109"/>
    </row>
    <row r="1102" spans="2:27" x14ac:dyDescent="0.25">
      <c r="B1102" s="174"/>
      <c r="C1102" s="174" t="str">
        <f>TEXT(data[[#This Row],[Fecha de Envío
Cotización]],"MMMM")</f>
        <v>mayo</v>
      </c>
      <c r="D1102" s="174">
        <v>44323</v>
      </c>
      <c r="E1102" s="174" t="str">
        <f>IF(data[[#This Row],[Estatus de 
Cotización]]="PERDIDO","N/A","")</f>
        <v>N/A</v>
      </c>
      <c r="F1102" s="174"/>
      <c r="G1102" s="109"/>
      <c r="H1102" s="174"/>
      <c r="I1102" s="86">
        <v>512124</v>
      </c>
      <c r="J1102" s="87">
        <v>6021</v>
      </c>
      <c r="K1102" s="24" t="s">
        <v>130</v>
      </c>
      <c r="L1102" s="106"/>
      <c r="M1102" s="105" t="s">
        <v>1354</v>
      </c>
      <c r="N1102" s="106">
        <v>50</v>
      </c>
      <c r="O1102" s="107"/>
      <c r="P1102" s="27">
        <v>2.7</v>
      </c>
      <c r="Q1102" s="28">
        <f>data[[#This Row],[Costo Producto
Proveedor ($/Unid)]]*data[[#This Row],[Cantidad]]</f>
        <v>0</v>
      </c>
      <c r="R1102" s="28">
        <f>data[[#This Row],[Cantidad]]*data[[#This Row],[Precio de Venta Cliente ($/Unid)]]</f>
        <v>135</v>
      </c>
      <c r="S1102" s="29"/>
      <c r="T1102" s="109" t="s">
        <v>15</v>
      </c>
      <c r="U1102" s="109"/>
      <c r="V1102" s="30" t="s">
        <v>42</v>
      </c>
      <c r="W1102" s="32" t="s">
        <v>42</v>
      </c>
      <c r="X1102" s="106" t="s">
        <v>23</v>
      </c>
      <c r="Y1102" s="106" t="s">
        <v>23</v>
      </c>
      <c r="Z1102" s="106" t="s">
        <v>12</v>
      </c>
      <c r="AA1102" s="109"/>
    </row>
    <row r="1103" spans="2:27" x14ac:dyDescent="0.25">
      <c r="B1103" s="174"/>
      <c r="C1103" s="174" t="str">
        <f>TEXT(data[[#This Row],[Fecha de Envío
Cotización]],"MMMM")</f>
        <v>mayo</v>
      </c>
      <c r="D1103" s="174">
        <v>44326</v>
      </c>
      <c r="E1103" s="174">
        <v>44327</v>
      </c>
      <c r="F1103" s="174">
        <v>44330</v>
      </c>
      <c r="G1103" s="109">
        <v>4500016625</v>
      </c>
      <c r="H1103" s="174">
        <v>44327</v>
      </c>
      <c r="I1103" s="86">
        <v>5115965</v>
      </c>
      <c r="J1103" s="87">
        <v>20169</v>
      </c>
      <c r="K1103" s="110" t="s">
        <v>1414</v>
      </c>
      <c r="L1103" s="106"/>
      <c r="M1103" s="105" t="s">
        <v>1415</v>
      </c>
      <c r="N1103" s="106">
        <v>2</v>
      </c>
      <c r="O1103" s="107"/>
      <c r="P1103" s="27">
        <v>69</v>
      </c>
      <c r="Q1103" s="28">
        <f>data[[#This Row],[Costo Producto
Proveedor ($/Unid)]]*data[[#This Row],[Cantidad]]</f>
        <v>0</v>
      </c>
      <c r="R1103" s="121">
        <f>data[[#This Row],[Cantidad]]*data[[#This Row],[Precio de Venta Cliente ($/Unid)]]</f>
        <v>138</v>
      </c>
      <c r="S1103" s="29"/>
      <c r="T1103" s="109" t="s">
        <v>22</v>
      </c>
      <c r="U1103" s="109"/>
      <c r="V1103" s="30" t="s">
        <v>44</v>
      </c>
      <c r="W1103" s="32" t="s">
        <v>44</v>
      </c>
      <c r="X1103" s="106" t="s">
        <v>45</v>
      </c>
      <c r="Y1103" s="106" t="s">
        <v>503</v>
      </c>
      <c r="Z1103" s="106" t="s">
        <v>12</v>
      </c>
      <c r="AA1103" s="109"/>
    </row>
    <row r="1104" spans="2:27" x14ac:dyDescent="0.25">
      <c r="B1104" s="174"/>
      <c r="C1104" s="174" t="str">
        <f>TEXT(data[[#This Row],[Fecha de Envío
Cotización]],"MMMM")</f>
        <v>mayo</v>
      </c>
      <c r="D1104" s="174">
        <v>44326</v>
      </c>
      <c r="E1104" s="174" t="str">
        <f>IF(data[[#This Row],[Estatus de 
Cotización]]="PERDIDO","N/A","")</f>
        <v>N/A</v>
      </c>
      <c r="F1104" s="174"/>
      <c r="G1104" s="109"/>
      <c r="H1104" s="174"/>
      <c r="I1104" s="86">
        <v>5115962</v>
      </c>
      <c r="J1104" s="87">
        <v>6023</v>
      </c>
      <c r="K1104" s="24" t="s">
        <v>130</v>
      </c>
      <c r="L1104" s="106"/>
      <c r="M1104" s="108" t="s">
        <v>1387</v>
      </c>
      <c r="N1104" s="106">
        <v>3</v>
      </c>
      <c r="O1104" s="107"/>
      <c r="P1104" s="107">
        <v>105.38</v>
      </c>
      <c r="Q1104" s="28">
        <f>data[[#This Row],[Costo Producto
Proveedor ($/Unid)]]*data[[#This Row],[Cantidad]]</f>
        <v>0</v>
      </c>
      <c r="R1104" s="28">
        <f>data[[#This Row],[Cantidad]]*data[[#This Row],[Precio de Venta Cliente ($/Unid)]]</f>
        <v>316.14</v>
      </c>
      <c r="S1104" s="29"/>
      <c r="T1104" s="109" t="s">
        <v>16</v>
      </c>
      <c r="U1104" s="109"/>
      <c r="V1104" s="30" t="s">
        <v>42</v>
      </c>
      <c r="W1104" s="32" t="s">
        <v>42</v>
      </c>
      <c r="X1104" s="106" t="s">
        <v>23</v>
      </c>
      <c r="Y1104" s="106" t="s">
        <v>23</v>
      </c>
      <c r="Z1104" s="106" t="s">
        <v>12</v>
      </c>
      <c r="AA1104" s="109"/>
    </row>
    <row r="1105" spans="2:27" x14ac:dyDescent="0.25">
      <c r="B1105" s="174"/>
      <c r="C1105" s="174" t="str">
        <f>TEXT(data[[#This Row],[Fecha de Envío
Cotización]],"MMMM")</f>
        <v>mayo</v>
      </c>
      <c r="D1105" s="174">
        <v>44326</v>
      </c>
      <c r="E1105" s="174" t="str">
        <f>IF(data[[#This Row],[Estatus de 
Cotización]]="PERDIDO","N/A","")</f>
        <v>N/A</v>
      </c>
      <c r="F1105" s="174"/>
      <c r="G1105" s="109"/>
      <c r="H1105" s="174"/>
      <c r="I1105" s="86">
        <v>5115963</v>
      </c>
      <c r="J1105" s="87">
        <v>6023</v>
      </c>
      <c r="K1105" s="24" t="s">
        <v>130</v>
      </c>
      <c r="L1105" s="106"/>
      <c r="M1105" s="108" t="s">
        <v>1388</v>
      </c>
      <c r="N1105" s="106">
        <v>2</v>
      </c>
      <c r="O1105" s="107"/>
      <c r="P1105" s="107">
        <v>125.41</v>
      </c>
      <c r="Q1105" s="28">
        <f>data[[#This Row],[Costo Producto
Proveedor ($/Unid)]]*data[[#This Row],[Cantidad]]</f>
        <v>0</v>
      </c>
      <c r="R1105" s="28">
        <f>data[[#This Row],[Cantidad]]*data[[#This Row],[Precio de Venta Cliente ($/Unid)]]</f>
        <v>250.82</v>
      </c>
      <c r="S1105" s="29"/>
      <c r="T1105" s="109" t="s">
        <v>16</v>
      </c>
      <c r="U1105" s="109"/>
      <c r="V1105" s="30" t="s">
        <v>42</v>
      </c>
      <c r="W1105" s="32" t="s">
        <v>42</v>
      </c>
      <c r="X1105" s="106" t="s">
        <v>23</v>
      </c>
      <c r="Y1105" s="106" t="s">
        <v>23</v>
      </c>
      <c r="Z1105" s="106" t="s">
        <v>12</v>
      </c>
      <c r="AA1105" s="109"/>
    </row>
    <row r="1106" spans="2:27" x14ac:dyDescent="0.25">
      <c r="B1106" s="174"/>
      <c r="C1106" s="174" t="str">
        <f>TEXT(data[[#This Row],[Fecha de Envío
Cotización]],"MMMM")</f>
        <v>mayo</v>
      </c>
      <c r="D1106" s="174">
        <v>44326</v>
      </c>
      <c r="E1106" s="174" t="str">
        <f>IF(data[[#This Row],[Estatus de 
Cotización]]="PERDIDO","N/A","")</f>
        <v>N/A</v>
      </c>
      <c r="F1106" s="174"/>
      <c r="G1106" s="109"/>
      <c r="H1106" s="174"/>
      <c r="I1106" s="86">
        <v>5115964</v>
      </c>
      <c r="J1106" s="87">
        <v>6023</v>
      </c>
      <c r="K1106" s="24" t="s">
        <v>130</v>
      </c>
      <c r="L1106" s="106"/>
      <c r="M1106" s="108" t="s">
        <v>1389</v>
      </c>
      <c r="N1106" s="106">
        <v>6</v>
      </c>
      <c r="O1106" s="107"/>
      <c r="P1106" s="107">
        <v>766.06</v>
      </c>
      <c r="Q1106" s="28">
        <f>data[[#This Row],[Costo Producto
Proveedor ($/Unid)]]*data[[#This Row],[Cantidad]]</f>
        <v>0</v>
      </c>
      <c r="R1106" s="28">
        <f>data[[#This Row],[Cantidad]]*data[[#This Row],[Precio de Venta Cliente ($/Unid)]]</f>
        <v>4596.3599999999997</v>
      </c>
      <c r="S1106" s="29"/>
      <c r="T1106" s="109" t="s">
        <v>16</v>
      </c>
      <c r="U1106" s="109"/>
      <c r="V1106" s="30" t="s">
        <v>42</v>
      </c>
      <c r="W1106" s="32" t="s">
        <v>42</v>
      </c>
      <c r="X1106" s="106" t="s">
        <v>23</v>
      </c>
      <c r="Y1106" s="106" t="s">
        <v>23</v>
      </c>
      <c r="Z1106" s="106" t="s">
        <v>12</v>
      </c>
      <c r="AA1106" s="109"/>
    </row>
    <row r="1107" spans="2:27" x14ac:dyDescent="0.25">
      <c r="B1107" s="174"/>
      <c r="C1107" s="174" t="str">
        <f>TEXT(data[[#This Row],[Fecha de Envío
Cotización]],"MMMM")</f>
        <v>mayo</v>
      </c>
      <c r="D1107" s="174">
        <v>44328</v>
      </c>
      <c r="E1107" s="174" t="str">
        <f>IF(data[[#This Row],[Estatus de 
Cotización]]="PERDIDO","N/A","")</f>
        <v/>
      </c>
      <c r="F1107" s="174"/>
      <c r="G1107" s="109"/>
      <c r="H1107" s="174"/>
      <c r="I1107" s="86">
        <v>5115975</v>
      </c>
      <c r="J1107" s="87">
        <v>6024</v>
      </c>
      <c r="K1107" s="110" t="s">
        <v>1417</v>
      </c>
      <c r="L1107" s="106"/>
      <c r="M1107" s="108" t="s">
        <v>1429</v>
      </c>
      <c r="N1107" s="106">
        <v>1</v>
      </c>
      <c r="O1107" s="107"/>
      <c r="P1107" s="27">
        <v>1505.7</v>
      </c>
      <c r="Q1107" s="28">
        <f>data[[#This Row],[Costo Producto
Proveedor ($/Unid)]]*data[[#This Row],[Cantidad]]</f>
        <v>0</v>
      </c>
      <c r="R1107" s="28">
        <f>data[[#This Row],[Cantidad]]*data[[#This Row],[Precio de Venta Cliente ($/Unid)]]</f>
        <v>1505.7</v>
      </c>
      <c r="S1107" s="29"/>
      <c r="T1107" s="109" t="s">
        <v>15</v>
      </c>
      <c r="U1107" s="109"/>
      <c r="V1107" s="30" t="s">
        <v>46</v>
      </c>
      <c r="W1107" s="32" t="s">
        <v>46</v>
      </c>
      <c r="X1107" s="106" t="s">
        <v>23</v>
      </c>
      <c r="Y1107" s="106" t="s">
        <v>23</v>
      </c>
      <c r="Z1107" s="106" t="s">
        <v>12</v>
      </c>
      <c r="AA1107" s="109"/>
    </row>
    <row r="1108" spans="2:27" x14ac:dyDescent="0.25">
      <c r="B1108" s="174"/>
      <c r="C1108" s="174" t="str">
        <f>TEXT(data[[#This Row],[Fecha de Envío
Cotización]],"MMMM")</f>
        <v>mayo</v>
      </c>
      <c r="D1108" s="174">
        <v>44328</v>
      </c>
      <c r="E1108" s="174" t="str">
        <f>IF(data[[#This Row],[Estatus de 
Cotización]]="PERDIDO","N/A","")</f>
        <v/>
      </c>
      <c r="F1108" s="174"/>
      <c r="G1108" s="109"/>
      <c r="H1108" s="174"/>
      <c r="I1108" s="86">
        <v>5115976</v>
      </c>
      <c r="J1108" s="87">
        <v>6029</v>
      </c>
      <c r="K1108" s="24" t="s">
        <v>31</v>
      </c>
      <c r="L1108" s="106"/>
      <c r="M1108" s="108" t="s">
        <v>1430</v>
      </c>
      <c r="N1108" s="106">
        <v>10</v>
      </c>
      <c r="O1108" s="107"/>
      <c r="P1108" s="107">
        <v>9.27</v>
      </c>
      <c r="Q1108" s="28">
        <f>data[[#This Row],[Costo Producto
Proveedor ($/Unid)]]*data[[#This Row],[Cantidad]]</f>
        <v>0</v>
      </c>
      <c r="R1108" s="28">
        <f>data[[#This Row],[Cantidad]]*data[[#This Row],[Precio de Venta Cliente ($/Unid)]]</f>
        <v>92.699999999999989</v>
      </c>
      <c r="S1108" s="29">
        <v>1</v>
      </c>
      <c r="T1108" s="109" t="s">
        <v>119</v>
      </c>
      <c r="U1108" s="109"/>
      <c r="V1108" s="30" t="s">
        <v>46</v>
      </c>
      <c r="W1108" s="32" t="s">
        <v>46</v>
      </c>
      <c r="X1108" s="106" t="s">
        <v>503</v>
      </c>
      <c r="Y1108" s="106" t="s">
        <v>503</v>
      </c>
      <c r="Z1108" s="106" t="s">
        <v>12</v>
      </c>
      <c r="AA1108" s="109"/>
    </row>
    <row r="1109" spans="2:27" x14ac:dyDescent="0.25">
      <c r="B1109" s="174"/>
      <c r="C1109" s="174" t="str">
        <f>TEXT(data[[#This Row],[Fecha de Envío
Cotización]],"MMMM")</f>
        <v>mayo</v>
      </c>
      <c r="D1109" s="174">
        <v>44329</v>
      </c>
      <c r="E1109" s="174" t="str">
        <f>IF(data[[#This Row],[Estatus de 
Cotización]]="PERDIDO","N/A","")</f>
        <v>N/A</v>
      </c>
      <c r="F1109" s="174"/>
      <c r="G1109" s="109"/>
      <c r="H1109" s="174"/>
      <c r="I1109" s="86">
        <v>5115977</v>
      </c>
      <c r="J1109" s="106">
        <v>6030</v>
      </c>
      <c r="K1109" s="24" t="s">
        <v>130</v>
      </c>
      <c r="L1109" s="106"/>
      <c r="M1109" s="108" t="s">
        <v>1431</v>
      </c>
      <c r="N1109" s="106">
        <v>2</v>
      </c>
      <c r="O1109" s="107"/>
      <c r="P1109" s="107">
        <v>257.52999999999997</v>
      </c>
      <c r="Q1109" s="28">
        <f>data[[#This Row],[Costo Producto
Proveedor ($/Unid)]]*data[[#This Row],[Cantidad]]</f>
        <v>0</v>
      </c>
      <c r="R1109" s="28">
        <f>data[[#This Row],[Cantidad]]*data[[#This Row],[Precio de Venta Cliente ($/Unid)]]</f>
        <v>515.05999999999995</v>
      </c>
      <c r="S1109" s="29"/>
      <c r="T1109" s="109" t="s">
        <v>16</v>
      </c>
      <c r="U1109" s="109"/>
      <c r="V1109" s="30" t="s">
        <v>42</v>
      </c>
      <c r="W1109" s="32" t="s">
        <v>42</v>
      </c>
      <c r="X1109" s="106" t="s">
        <v>23</v>
      </c>
      <c r="Y1109" s="106" t="s">
        <v>23</v>
      </c>
      <c r="Z1109" s="106" t="s">
        <v>12</v>
      </c>
      <c r="AA1109" s="109"/>
    </row>
    <row r="1110" spans="2:27" x14ac:dyDescent="0.25">
      <c r="B1110" s="174"/>
      <c r="C1110" s="174" t="str">
        <f>TEXT(data[[#This Row],[Fecha de Envío
Cotización]],"MMMM")</f>
        <v>mayo</v>
      </c>
      <c r="D1110" s="174">
        <v>44329</v>
      </c>
      <c r="E1110" s="174" t="str">
        <f>IF(data[[#This Row],[Estatus de 
Cotización]]="PERDIDO","N/A","")</f>
        <v/>
      </c>
      <c r="F1110" s="174"/>
      <c r="G1110" s="109"/>
      <c r="H1110" s="174"/>
      <c r="I1110" s="86">
        <v>5115978</v>
      </c>
      <c r="J1110" s="106">
        <v>6031</v>
      </c>
      <c r="K1110" s="110" t="s">
        <v>424</v>
      </c>
      <c r="L1110" s="106"/>
      <c r="M1110" s="108" t="s">
        <v>1432</v>
      </c>
      <c r="N1110" s="106">
        <v>1</v>
      </c>
      <c r="O1110" s="107"/>
      <c r="P1110" s="107">
        <v>1411.2</v>
      </c>
      <c r="Q1110" s="28">
        <f>data[[#This Row],[Costo Producto
Proveedor ($/Unid)]]*data[[#This Row],[Cantidad]]</f>
        <v>0</v>
      </c>
      <c r="R1110" s="28">
        <f>data[[#This Row],[Cantidad]]*data[[#This Row],[Precio de Venta Cliente ($/Unid)]]</f>
        <v>1411.2</v>
      </c>
      <c r="S1110" s="29"/>
      <c r="T1110" s="109" t="s">
        <v>119</v>
      </c>
      <c r="U1110" s="109"/>
      <c r="V1110" s="30" t="s">
        <v>46</v>
      </c>
      <c r="W1110" s="32" t="s">
        <v>46</v>
      </c>
      <c r="X1110" s="106" t="s">
        <v>23</v>
      </c>
      <c r="Y1110" s="106" t="s">
        <v>23</v>
      </c>
      <c r="Z1110" s="106" t="s">
        <v>12</v>
      </c>
      <c r="AA1110" s="109"/>
    </row>
    <row r="1111" spans="2:27" x14ac:dyDescent="0.25">
      <c r="B1111" s="174"/>
      <c r="C1111" s="174" t="str">
        <f>TEXT(data[[#This Row],[Fecha de Envío
Cotización]],"MMMM")</f>
        <v>mayo</v>
      </c>
      <c r="D1111" s="174">
        <v>44329</v>
      </c>
      <c r="E1111" s="174" t="str">
        <f>IF(data[[#This Row],[Estatus de 
Cotización]]="PERDIDO","N/A","")</f>
        <v>N/A</v>
      </c>
      <c r="F1111" s="174"/>
      <c r="G1111" s="109"/>
      <c r="H1111" s="174"/>
      <c r="I1111" s="86">
        <v>5115979</v>
      </c>
      <c r="J1111" s="106">
        <v>6032</v>
      </c>
      <c r="K1111" s="110" t="s">
        <v>144</v>
      </c>
      <c r="L1111" s="106"/>
      <c r="M1111" s="108" t="s">
        <v>1433</v>
      </c>
      <c r="N1111" s="106">
        <v>2</v>
      </c>
      <c r="O1111" s="107"/>
      <c r="P1111" s="107">
        <v>15.61</v>
      </c>
      <c r="Q1111" s="28">
        <f>data[[#This Row],[Costo Producto
Proveedor ($/Unid)]]*data[[#This Row],[Cantidad]]</f>
        <v>0</v>
      </c>
      <c r="R1111" s="28">
        <f>data[[#This Row],[Cantidad]]*data[[#This Row],[Precio de Venta Cliente ($/Unid)]]</f>
        <v>31.22</v>
      </c>
      <c r="S1111" s="29"/>
      <c r="T1111" s="109" t="s">
        <v>119</v>
      </c>
      <c r="U1111" s="109"/>
      <c r="V1111" s="30" t="s">
        <v>42</v>
      </c>
      <c r="W1111" s="32" t="s">
        <v>46</v>
      </c>
      <c r="X1111" s="106" t="s">
        <v>23</v>
      </c>
      <c r="Y1111" s="106" t="s">
        <v>23</v>
      </c>
      <c r="Z1111" s="106" t="s">
        <v>12</v>
      </c>
      <c r="AA1111" s="109"/>
    </row>
    <row r="1112" spans="2:27" x14ac:dyDescent="0.25">
      <c r="B1112" s="174"/>
      <c r="C1112" s="174" t="str">
        <f>TEXT(data[[#This Row],[Fecha de Envío
Cotización]],"MMMM")</f>
        <v>mayo</v>
      </c>
      <c r="D1112" s="174">
        <v>44329</v>
      </c>
      <c r="E1112" s="174" t="str">
        <f>IF(data[[#This Row],[Estatus de 
Cotización]]="PERDIDO","N/A","")</f>
        <v>N/A</v>
      </c>
      <c r="F1112" s="174"/>
      <c r="G1112" s="109"/>
      <c r="H1112" s="174"/>
      <c r="I1112" s="86">
        <v>5115980</v>
      </c>
      <c r="J1112" s="106">
        <v>6032</v>
      </c>
      <c r="K1112" s="110" t="s">
        <v>144</v>
      </c>
      <c r="L1112" s="106"/>
      <c r="M1112" s="105" t="s">
        <v>1434</v>
      </c>
      <c r="N1112" s="106">
        <v>1</v>
      </c>
      <c r="O1112" s="107"/>
      <c r="P1112" s="107">
        <v>9.56</v>
      </c>
      <c r="Q1112" s="28">
        <f>data[[#This Row],[Costo Producto
Proveedor ($/Unid)]]*data[[#This Row],[Cantidad]]</f>
        <v>0</v>
      </c>
      <c r="R1112" s="28">
        <f>data[[#This Row],[Cantidad]]*data[[#This Row],[Precio de Venta Cliente ($/Unid)]]</f>
        <v>9.56</v>
      </c>
      <c r="S1112" s="29"/>
      <c r="T1112" s="109" t="s">
        <v>119</v>
      </c>
      <c r="U1112" s="109"/>
      <c r="V1112" s="30" t="s">
        <v>42</v>
      </c>
      <c r="W1112" s="32" t="s">
        <v>46</v>
      </c>
      <c r="X1112" s="106" t="s">
        <v>23</v>
      </c>
      <c r="Y1112" s="106" t="s">
        <v>23</v>
      </c>
      <c r="Z1112" s="106" t="s">
        <v>12</v>
      </c>
      <c r="AA1112" s="109"/>
    </row>
    <row r="1113" spans="2:27" x14ac:dyDescent="0.25">
      <c r="B1113" s="174"/>
      <c r="C1113" s="174" t="str">
        <f>TEXT(data[[#This Row],[Fecha de Envío
Cotización]],"MMMM")</f>
        <v>mayo</v>
      </c>
      <c r="D1113" s="174">
        <v>44329</v>
      </c>
      <c r="E1113" s="174" t="str">
        <f>IF(data[[#This Row],[Estatus de 
Cotización]]="PERDIDO","N/A","")</f>
        <v>N/A</v>
      </c>
      <c r="F1113" s="174"/>
      <c r="G1113" s="109"/>
      <c r="H1113" s="174"/>
      <c r="I1113" s="86">
        <v>5115981</v>
      </c>
      <c r="J1113" s="106">
        <v>6032</v>
      </c>
      <c r="K1113" s="110" t="s">
        <v>144</v>
      </c>
      <c r="L1113" s="106"/>
      <c r="M1113" s="105" t="s">
        <v>1435</v>
      </c>
      <c r="N1113" s="106">
        <v>4</v>
      </c>
      <c r="O1113" s="107"/>
      <c r="P1113" s="107">
        <v>11.77</v>
      </c>
      <c r="Q1113" s="28">
        <f>data[[#This Row],[Costo Producto
Proveedor ($/Unid)]]*data[[#This Row],[Cantidad]]</f>
        <v>0</v>
      </c>
      <c r="R1113" s="28">
        <f>data[[#This Row],[Cantidad]]*data[[#This Row],[Precio de Venta Cliente ($/Unid)]]</f>
        <v>47.08</v>
      </c>
      <c r="S1113" s="29"/>
      <c r="T1113" s="109" t="s">
        <v>119</v>
      </c>
      <c r="U1113" s="109"/>
      <c r="V1113" s="30" t="s">
        <v>42</v>
      </c>
      <c r="W1113" s="32" t="s">
        <v>46</v>
      </c>
      <c r="X1113" s="106" t="s">
        <v>23</v>
      </c>
      <c r="Y1113" s="106" t="s">
        <v>23</v>
      </c>
      <c r="Z1113" s="106" t="s">
        <v>12</v>
      </c>
      <c r="AA1113" s="109"/>
    </row>
    <row r="1114" spans="2:27" x14ac:dyDescent="0.25">
      <c r="B1114" s="174"/>
      <c r="C1114" s="174" t="str">
        <f>TEXT(data[[#This Row],[Fecha de Envío
Cotización]],"MMMM")</f>
        <v>mayo</v>
      </c>
      <c r="D1114" s="174">
        <v>44329</v>
      </c>
      <c r="E1114" s="174" t="str">
        <f>IF(data[[#This Row],[Estatus de 
Cotización]]="PERDIDO","N/A","")</f>
        <v>N/A</v>
      </c>
      <c r="F1114" s="174"/>
      <c r="G1114" s="109"/>
      <c r="H1114" s="174"/>
      <c r="I1114" s="86">
        <v>5115982</v>
      </c>
      <c r="J1114" s="106">
        <v>6032</v>
      </c>
      <c r="K1114" s="110" t="s">
        <v>144</v>
      </c>
      <c r="L1114" s="106"/>
      <c r="M1114" s="105" t="s">
        <v>1436</v>
      </c>
      <c r="N1114" s="106">
        <v>12</v>
      </c>
      <c r="O1114" s="107"/>
      <c r="P1114" s="107">
        <v>10.61</v>
      </c>
      <c r="Q1114" s="28">
        <f>data[[#This Row],[Costo Producto
Proveedor ($/Unid)]]*data[[#This Row],[Cantidad]]</f>
        <v>0</v>
      </c>
      <c r="R1114" s="28">
        <f>data[[#This Row],[Cantidad]]*data[[#This Row],[Precio de Venta Cliente ($/Unid)]]</f>
        <v>127.32</v>
      </c>
      <c r="S1114" s="29"/>
      <c r="T1114" s="109" t="s">
        <v>119</v>
      </c>
      <c r="U1114" s="109"/>
      <c r="V1114" s="30" t="s">
        <v>42</v>
      </c>
      <c r="W1114" s="32" t="s">
        <v>46</v>
      </c>
      <c r="X1114" s="106" t="s">
        <v>23</v>
      </c>
      <c r="Y1114" s="106" t="s">
        <v>23</v>
      </c>
      <c r="Z1114" s="106" t="s">
        <v>12</v>
      </c>
      <c r="AA1114" s="109"/>
    </row>
    <row r="1115" spans="2:27" x14ac:dyDescent="0.25">
      <c r="B1115" s="174"/>
      <c r="C1115" s="174" t="str">
        <f>TEXT(data[[#This Row],[Fecha de Envío
Cotización]],"MMMM")</f>
        <v>mayo</v>
      </c>
      <c r="D1115" s="174">
        <v>44329</v>
      </c>
      <c r="E1115" s="174" t="str">
        <f>IF(data[[#This Row],[Estatus de 
Cotización]]="PERDIDO","N/A","")</f>
        <v>N/A</v>
      </c>
      <c r="F1115" s="174"/>
      <c r="G1115" s="109"/>
      <c r="H1115" s="174"/>
      <c r="I1115" s="86">
        <v>5115983</v>
      </c>
      <c r="J1115" s="106">
        <v>6032</v>
      </c>
      <c r="K1115" s="110" t="s">
        <v>144</v>
      </c>
      <c r="L1115" s="106"/>
      <c r="M1115" s="105" t="s">
        <v>1437</v>
      </c>
      <c r="N1115" s="106">
        <v>14</v>
      </c>
      <c r="O1115" s="107"/>
      <c r="P1115" s="107">
        <v>10.46</v>
      </c>
      <c r="Q1115" s="28">
        <f>data[[#This Row],[Costo Producto
Proveedor ($/Unid)]]*data[[#This Row],[Cantidad]]</f>
        <v>0</v>
      </c>
      <c r="R1115" s="28">
        <f>data[[#This Row],[Cantidad]]*data[[#This Row],[Precio de Venta Cliente ($/Unid)]]</f>
        <v>146.44</v>
      </c>
      <c r="S1115" s="29"/>
      <c r="T1115" s="109" t="s">
        <v>119</v>
      </c>
      <c r="U1115" s="109"/>
      <c r="V1115" s="30" t="s">
        <v>42</v>
      </c>
      <c r="W1115" s="32" t="s">
        <v>46</v>
      </c>
      <c r="X1115" s="106" t="s">
        <v>23</v>
      </c>
      <c r="Y1115" s="106" t="s">
        <v>23</v>
      </c>
      <c r="Z1115" s="106" t="s">
        <v>12</v>
      </c>
      <c r="AA1115" s="109"/>
    </row>
    <row r="1116" spans="2:27" x14ac:dyDescent="0.25">
      <c r="B1116" s="174"/>
      <c r="C1116" s="174" t="str">
        <f>TEXT(data[[#This Row],[Fecha de Envío
Cotización]],"MMMM")</f>
        <v>mayo</v>
      </c>
      <c r="D1116" s="174">
        <v>44329</v>
      </c>
      <c r="E1116" s="174" t="str">
        <f>IF(data[[#This Row],[Estatus de 
Cotización]]="PERDIDO","N/A","")</f>
        <v>N/A</v>
      </c>
      <c r="F1116" s="174"/>
      <c r="G1116" s="109"/>
      <c r="H1116" s="174"/>
      <c r="I1116" s="86">
        <v>5115984</v>
      </c>
      <c r="J1116" s="106">
        <v>6032</v>
      </c>
      <c r="K1116" s="110" t="s">
        <v>144</v>
      </c>
      <c r="L1116" s="106"/>
      <c r="M1116" s="105" t="s">
        <v>1438</v>
      </c>
      <c r="N1116" s="106">
        <v>10</v>
      </c>
      <c r="O1116" s="107"/>
      <c r="P1116" s="107">
        <v>16.37</v>
      </c>
      <c r="Q1116" s="28">
        <f>data[[#This Row],[Costo Producto
Proveedor ($/Unid)]]*data[[#This Row],[Cantidad]]</f>
        <v>0</v>
      </c>
      <c r="R1116" s="28">
        <f>data[[#This Row],[Cantidad]]*data[[#This Row],[Precio de Venta Cliente ($/Unid)]]</f>
        <v>163.70000000000002</v>
      </c>
      <c r="S1116" s="29"/>
      <c r="T1116" s="109" t="s">
        <v>119</v>
      </c>
      <c r="U1116" s="109"/>
      <c r="V1116" s="30" t="s">
        <v>42</v>
      </c>
      <c r="W1116" s="32" t="s">
        <v>46</v>
      </c>
      <c r="X1116" s="106" t="s">
        <v>23</v>
      </c>
      <c r="Y1116" s="106" t="s">
        <v>23</v>
      </c>
      <c r="Z1116" s="106" t="s">
        <v>12</v>
      </c>
      <c r="AA1116" s="109"/>
    </row>
    <row r="1117" spans="2:27" x14ac:dyDescent="0.25">
      <c r="B1117" s="174"/>
      <c r="C1117" s="174" t="str">
        <f>TEXT(data[[#This Row],[Fecha de Envío
Cotización]],"MMMM")</f>
        <v>mayo</v>
      </c>
      <c r="D1117" s="174">
        <v>44329</v>
      </c>
      <c r="E1117" s="174" t="str">
        <f>IF(data[[#This Row],[Estatus de 
Cotización]]="PERDIDO","N/A","")</f>
        <v>N/A</v>
      </c>
      <c r="F1117" s="174"/>
      <c r="G1117" s="109"/>
      <c r="H1117" s="174"/>
      <c r="I1117" s="86">
        <v>5115985</v>
      </c>
      <c r="J1117" s="106">
        <v>6032</v>
      </c>
      <c r="K1117" s="110" t="s">
        <v>144</v>
      </c>
      <c r="L1117" s="106"/>
      <c r="M1117" s="105" t="s">
        <v>1439</v>
      </c>
      <c r="N1117" s="106">
        <v>3</v>
      </c>
      <c r="O1117" s="107"/>
      <c r="P1117" s="107">
        <v>140.18</v>
      </c>
      <c r="Q1117" s="28">
        <f>data[[#This Row],[Costo Producto
Proveedor ($/Unid)]]*data[[#This Row],[Cantidad]]</f>
        <v>0</v>
      </c>
      <c r="R1117" s="28">
        <f>data[[#This Row],[Cantidad]]*data[[#This Row],[Precio de Venta Cliente ($/Unid)]]</f>
        <v>420.54</v>
      </c>
      <c r="S1117" s="29"/>
      <c r="T1117" s="109" t="s">
        <v>119</v>
      </c>
      <c r="U1117" s="109"/>
      <c r="V1117" s="30" t="s">
        <v>42</v>
      </c>
      <c r="W1117" s="32" t="s">
        <v>46</v>
      </c>
      <c r="X1117" s="106" t="s">
        <v>23</v>
      </c>
      <c r="Y1117" s="106" t="s">
        <v>23</v>
      </c>
      <c r="Z1117" s="106" t="s">
        <v>12</v>
      </c>
      <c r="AA1117" s="109"/>
    </row>
    <row r="1118" spans="2:27" x14ac:dyDescent="0.25">
      <c r="B1118" s="174"/>
      <c r="C1118" s="174" t="str">
        <f>TEXT(data[[#This Row],[Fecha de Envío
Cotización]],"MMMM")</f>
        <v>mayo</v>
      </c>
      <c r="D1118" s="174">
        <v>44333</v>
      </c>
      <c r="E1118" s="174" t="str">
        <f>IF(data[[#This Row],[Estatus de 
Cotización]]="PERDIDO","N/A","")</f>
        <v/>
      </c>
      <c r="F1118" s="174"/>
      <c r="G1118" s="109"/>
      <c r="H1118" s="174"/>
      <c r="I1118" s="86">
        <v>511510012</v>
      </c>
      <c r="J1118" s="87">
        <v>6033</v>
      </c>
      <c r="K1118" s="110" t="s">
        <v>424</v>
      </c>
      <c r="L1118" s="106"/>
      <c r="M1118" s="105" t="s">
        <v>1477</v>
      </c>
      <c r="N1118" s="106">
        <v>1</v>
      </c>
      <c r="O1118" s="107"/>
      <c r="P1118" s="27">
        <v>2110.19</v>
      </c>
      <c r="Q1118" s="28">
        <f>data[[#This Row],[Costo Producto
Proveedor ($/Unid)]]*data[[#This Row],[Cantidad]]</f>
        <v>0</v>
      </c>
      <c r="R1118" s="28">
        <f>data[[#This Row],[Cantidad]]*data[[#This Row],[Precio de Venta Cliente ($/Unid)]]</f>
        <v>2110.19</v>
      </c>
      <c r="S1118" s="29"/>
      <c r="T1118" s="109" t="s">
        <v>16</v>
      </c>
      <c r="U1118" s="109"/>
      <c r="V1118" s="30" t="s">
        <v>46</v>
      </c>
      <c r="W1118" s="32" t="s">
        <v>46</v>
      </c>
      <c r="X1118" s="106" t="s">
        <v>23</v>
      </c>
      <c r="Y1118" s="106" t="s">
        <v>23</v>
      </c>
      <c r="Z1118" s="106" t="s">
        <v>12</v>
      </c>
      <c r="AA1118" s="109"/>
    </row>
    <row r="1119" spans="2:27" x14ac:dyDescent="0.25">
      <c r="B1119" s="174"/>
      <c r="C1119" s="174" t="str">
        <f>TEXT(data[[#This Row],[Fecha de Envío
Cotización]],"MMMM")</f>
        <v>mayo</v>
      </c>
      <c r="D1119" s="124">
        <v>44333</v>
      </c>
      <c r="E1119" s="174">
        <v>44335</v>
      </c>
      <c r="F1119" s="174">
        <v>44341</v>
      </c>
      <c r="G1119" s="109">
        <v>4500016678</v>
      </c>
      <c r="H1119" s="174"/>
      <c r="I1119" s="86">
        <v>511510013</v>
      </c>
      <c r="J1119" s="87">
        <v>6034</v>
      </c>
      <c r="K1119" s="110" t="s">
        <v>1476</v>
      </c>
      <c r="L1119" s="106"/>
      <c r="M1119" s="105" t="s">
        <v>1478</v>
      </c>
      <c r="N1119" s="106">
        <v>1</v>
      </c>
      <c r="O1119" s="107"/>
      <c r="P1119" s="27">
        <v>155.76</v>
      </c>
      <c r="Q1119" s="28">
        <f>data[[#This Row],[Costo Producto
Proveedor ($/Unid)]]*data[[#This Row],[Cantidad]]</f>
        <v>0</v>
      </c>
      <c r="R1119" s="28">
        <f>data[[#This Row],[Cantidad]]*data[[#This Row],[Precio de Venta Cliente ($/Unid)]]</f>
        <v>155.76</v>
      </c>
      <c r="S1119" s="29"/>
      <c r="T1119" s="109" t="s">
        <v>1479</v>
      </c>
      <c r="U1119" s="109"/>
      <c r="V1119" s="30" t="s">
        <v>44</v>
      </c>
      <c r="W1119" s="32" t="s">
        <v>44</v>
      </c>
      <c r="X1119" s="106" t="s">
        <v>503</v>
      </c>
      <c r="Y1119" s="106" t="s">
        <v>503</v>
      </c>
      <c r="Z1119" s="106" t="s">
        <v>12</v>
      </c>
      <c r="AA1119" s="109"/>
    </row>
    <row r="1120" spans="2:27" x14ac:dyDescent="0.25">
      <c r="B1120" s="174"/>
      <c r="C1120" s="174" t="str">
        <f>TEXT(data[[#This Row],[Fecha de Envío
Cotización]],"MMMM")</f>
        <v>mayo</v>
      </c>
      <c r="D1120" s="174">
        <v>44334</v>
      </c>
      <c r="E1120" s="130" t="str">
        <f>IF(data[[#This Row],[Estatus de 
Cotización]]="PERDIDO","N/A","")</f>
        <v>N/A</v>
      </c>
      <c r="F1120" s="174"/>
      <c r="G1120" s="109"/>
      <c r="H1120" s="174"/>
      <c r="I1120" s="86"/>
      <c r="J1120" s="87">
        <v>20172</v>
      </c>
      <c r="K1120" s="110" t="s">
        <v>1546</v>
      </c>
      <c r="L1120" s="106"/>
      <c r="M1120" s="105" t="s">
        <v>1547</v>
      </c>
      <c r="N1120" s="106">
        <v>14400</v>
      </c>
      <c r="O1120" s="107"/>
      <c r="P1120" s="27">
        <v>5.39</v>
      </c>
      <c r="Q1120" s="28">
        <f>data[[#This Row],[Costo Producto
Proveedor ($/Unid)]]*data[[#This Row],[Cantidad]]</f>
        <v>0</v>
      </c>
      <c r="R1120" s="28">
        <f>data[[#This Row],[Cantidad]]*data[[#This Row],[Precio de Venta Cliente ($/Unid)]]</f>
        <v>77616</v>
      </c>
      <c r="S1120" s="29"/>
      <c r="T1120" s="109" t="s">
        <v>1552</v>
      </c>
      <c r="U1120" s="109"/>
      <c r="V1120" s="30" t="s">
        <v>42</v>
      </c>
      <c r="W1120" s="32" t="s">
        <v>42</v>
      </c>
      <c r="X1120" s="106" t="s">
        <v>23</v>
      </c>
      <c r="Y1120" s="106" t="s">
        <v>23</v>
      </c>
      <c r="Z1120" s="106" t="s">
        <v>12</v>
      </c>
      <c r="AA1120" s="109"/>
    </row>
    <row r="1121" spans="2:27" x14ac:dyDescent="0.25">
      <c r="B1121" s="174"/>
      <c r="C1121" s="174" t="str">
        <f>TEXT(data[[#This Row],[Fecha de Envío
Cotización]],"MMMM")</f>
        <v>mayo</v>
      </c>
      <c r="D1121" s="174">
        <v>44334</v>
      </c>
      <c r="E1121" s="130" t="str">
        <f>IF(data[[#This Row],[Estatus de 
Cotización]]="PERDIDO","N/A","")</f>
        <v>N/A</v>
      </c>
      <c r="F1121" s="174"/>
      <c r="G1121" s="109"/>
      <c r="H1121" s="174"/>
      <c r="I1121" s="86"/>
      <c r="J1121" s="87">
        <v>20172</v>
      </c>
      <c r="K1121" s="110" t="s">
        <v>1546</v>
      </c>
      <c r="L1121" s="106"/>
      <c r="M1121" s="105" t="s">
        <v>1548</v>
      </c>
      <c r="N1121" s="106">
        <v>14000</v>
      </c>
      <c r="O1121" s="107"/>
      <c r="P1121" s="27">
        <v>4.3</v>
      </c>
      <c r="Q1121" s="28">
        <f>data[[#This Row],[Costo Producto
Proveedor ($/Unid)]]*data[[#This Row],[Cantidad]]</f>
        <v>0</v>
      </c>
      <c r="R1121" s="28">
        <f>data[[#This Row],[Cantidad]]*data[[#This Row],[Precio de Venta Cliente ($/Unid)]]</f>
        <v>60200</v>
      </c>
      <c r="S1121" s="29"/>
      <c r="T1121" s="109" t="s">
        <v>1552</v>
      </c>
      <c r="U1121" s="109"/>
      <c r="V1121" s="30" t="s">
        <v>42</v>
      </c>
      <c r="W1121" s="32" t="s">
        <v>42</v>
      </c>
      <c r="X1121" s="106" t="s">
        <v>23</v>
      </c>
      <c r="Y1121" s="106" t="s">
        <v>23</v>
      </c>
      <c r="Z1121" s="106" t="s">
        <v>12</v>
      </c>
      <c r="AA1121" s="109"/>
    </row>
    <row r="1122" spans="2:27" x14ac:dyDescent="0.25">
      <c r="B1122" s="174"/>
      <c r="C1122" s="174" t="str">
        <f>TEXT(data[[#This Row],[Fecha de Envío
Cotización]],"MMMM")</f>
        <v>mayo</v>
      </c>
      <c r="D1122" s="174">
        <v>44334</v>
      </c>
      <c r="E1122" s="130" t="str">
        <f>IF(data[[#This Row],[Estatus de 
Cotización]]="PERDIDO","N/A","")</f>
        <v>N/A</v>
      </c>
      <c r="F1122" s="174"/>
      <c r="G1122" s="109"/>
      <c r="H1122" s="174"/>
      <c r="I1122" s="86"/>
      <c r="J1122" s="87">
        <v>20172</v>
      </c>
      <c r="K1122" s="110" t="s">
        <v>1546</v>
      </c>
      <c r="L1122" s="106"/>
      <c r="M1122" s="105" t="s">
        <v>1550</v>
      </c>
      <c r="N1122" s="106">
        <v>15000</v>
      </c>
      <c r="O1122" s="107"/>
      <c r="P1122" s="27">
        <v>6.06</v>
      </c>
      <c r="Q1122" s="28">
        <f>data[[#This Row],[Costo Producto
Proveedor ($/Unid)]]*data[[#This Row],[Cantidad]]</f>
        <v>0</v>
      </c>
      <c r="R1122" s="28">
        <f>data[[#This Row],[Cantidad]]*data[[#This Row],[Precio de Venta Cliente ($/Unid)]]</f>
        <v>90900</v>
      </c>
      <c r="S1122" s="29"/>
      <c r="T1122" s="109" t="s">
        <v>1552</v>
      </c>
      <c r="U1122" s="109"/>
      <c r="V1122" s="30" t="s">
        <v>42</v>
      </c>
      <c r="W1122" s="32" t="s">
        <v>42</v>
      </c>
      <c r="X1122" s="106" t="s">
        <v>23</v>
      </c>
      <c r="Y1122" s="106" t="s">
        <v>23</v>
      </c>
      <c r="Z1122" s="106" t="s">
        <v>12</v>
      </c>
      <c r="AA1122" s="109"/>
    </row>
    <row r="1123" spans="2:27" x14ac:dyDescent="0.25">
      <c r="B1123" s="174"/>
      <c r="C1123" s="174" t="str">
        <f>TEXT(data[[#This Row],[Fecha de Envío
Cotización]],"MMMM")</f>
        <v>mayo</v>
      </c>
      <c r="D1123" s="174">
        <v>44334</v>
      </c>
      <c r="E1123" s="130" t="str">
        <f>IF(data[[#This Row],[Estatus de 
Cotización]]="PERDIDO","N/A","")</f>
        <v>N/A</v>
      </c>
      <c r="F1123" s="174"/>
      <c r="G1123" s="109"/>
      <c r="H1123" s="174"/>
      <c r="I1123" s="86"/>
      <c r="J1123" s="87">
        <v>20172</v>
      </c>
      <c r="K1123" s="110" t="s">
        <v>1546</v>
      </c>
      <c r="L1123" s="106"/>
      <c r="M1123" s="105" t="s">
        <v>1551</v>
      </c>
      <c r="N1123" s="106">
        <v>14000</v>
      </c>
      <c r="O1123" s="107"/>
      <c r="P1123" s="27">
        <v>4.12</v>
      </c>
      <c r="Q1123" s="28">
        <f>data[[#This Row],[Costo Producto
Proveedor ($/Unid)]]*data[[#This Row],[Cantidad]]</f>
        <v>0</v>
      </c>
      <c r="R1123" s="28">
        <f>data[[#This Row],[Cantidad]]*data[[#This Row],[Precio de Venta Cliente ($/Unid)]]</f>
        <v>57680</v>
      </c>
      <c r="S1123" s="29"/>
      <c r="T1123" s="109" t="s">
        <v>1552</v>
      </c>
      <c r="U1123" s="109"/>
      <c r="V1123" s="30" t="s">
        <v>42</v>
      </c>
      <c r="W1123" s="32" t="s">
        <v>42</v>
      </c>
      <c r="X1123" s="106" t="s">
        <v>23</v>
      </c>
      <c r="Y1123" s="106" t="s">
        <v>23</v>
      </c>
      <c r="Z1123" s="106" t="s">
        <v>12</v>
      </c>
      <c r="AA1123" s="109"/>
    </row>
    <row r="1124" spans="2:27" x14ac:dyDescent="0.25">
      <c r="B1124" s="174"/>
      <c r="C1124" s="174" t="str">
        <f>TEXT(data[[#This Row],[Fecha de Envío
Cotización]],"MMMM")</f>
        <v>mayo</v>
      </c>
      <c r="D1124" s="174">
        <v>44335</v>
      </c>
      <c r="E1124" s="174" t="str">
        <f>IF(data[[#This Row],[Estatus de 
Cotización]]="PERDIDO","N/A","")</f>
        <v/>
      </c>
      <c r="F1124" s="174"/>
      <c r="G1124" s="109"/>
      <c r="H1124" s="174"/>
      <c r="I1124" s="86"/>
      <c r="J1124" s="87">
        <v>6036</v>
      </c>
      <c r="K1124" s="110" t="s">
        <v>424</v>
      </c>
      <c r="L1124" s="106"/>
      <c r="M1124" s="105" t="s">
        <v>1613</v>
      </c>
      <c r="N1124" s="106">
        <v>3</v>
      </c>
      <c r="O1124" s="107"/>
      <c r="P1124" s="27">
        <v>2.38</v>
      </c>
      <c r="Q1124" s="28">
        <f>data[[#This Row],[Costo Producto
Proveedor ($/Unid)]]*data[[#This Row],[Cantidad]]</f>
        <v>0</v>
      </c>
      <c r="R1124" s="28">
        <f>data[[#This Row],[Cantidad]]*data[[#This Row],[Precio de Venta Cliente ($/Unid)]]</f>
        <v>7.14</v>
      </c>
      <c r="S1124" s="29"/>
      <c r="T1124" s="109" t="s">
        <v>22</v>
      </c>
      <c r="U1124" s="109"/>
      <c r="V1124" s="30" t="s">
        <v>46</v>
      </c>
      <c r="W1124" s="32" t="s">
        <v>46</v>
      </c>
      <c r="X1124" s="106" t="s">
        <v>503</v>
      </c>
      <c r="Y1124" s="106" t="s">
        <v>503</v>
      </c>
      <c r="Z1124" s="106" t="s">
        <v>12</v>
      </c>
      <c r="AA1124" s="109"/>
    </row>
    <row r="1125" spans="2:27" x14ac:dyDescent="0.25">
      <c r="B1125" s="174"/>
      <c r="C1125" s="174" t="str">
        <f>TEXT(data[[#This Row],[Fecha de Envío
Cotización]],"MMMM")</f>
        <v>mayo</v>
      </c>
      <c r="D1125" s="174">
        <v>44336</v>
      </c>
      <c r="E1125" s="174" t="str">
        <f>IF(data[[#This Row],[Estatus de 
Cotización]]="PERDIDO","N/A","")</f>
        <v/>
      </c>
      <c r="F1125" s="174"/>
      <c r="G1125" s="109"/>
      <c r="H1125" s="174"/>
      <c r="I1125" s="86"/>
      <c r="J1125" s="87">
        <v>6037</v>
      </c>
      <c r="K1125" s="110" t="s">
        <v>31</v>
      </c>
      <c r="L1125" s="106"/>
      <c r="M1125" s="105" t="s">
        <v>1590</v>
      </c>
      <c r="N1125" s="106">
        <v>2</v>
      </c>
      <c r="O1125" s="107"/>
      <c r="P1125" s="27">
        <v>177.05</v>
      </c>
      <c r="Q1125" s="28">
        <f>data[[#This Row],[Costo Producto
Proveedor ($/Unid)]]*data[[#This Row],[Cantidad]]</f>
        <v>0</v>
      </c>
      <c r="R1125" s="28">
        <f>data[[#This Row],[Cantidad]]*data[[#This Row],[Precio de Venta Cliente ($/Unid)]]</f>
        <v>354.1</v>
      </c>
      <c r="S1125" s="29"/>
      <c r="T1125" s="109" t="s">
        <v>22</v>
      </c>
      <c r="U1125" s="109"/>
      <c r="V1125" s="30" t="s">
        <v>46</v>
      </c>
      <c r="W1125" s="32" t="s">
        <v>46</v>
      </c>
      <c r="X1125" s="106" t="s">
        <v>503</v>
      </c>
      <c r="Y1125" s="106" t="s">
        <v>503</v>
      </c>
      <c r="Z1125" s="106" t="s">
        <v>12</v>
      </c>
      <c r="AA1125" s="109"/>
    </row>
    <row r="1126" spans="2:27" s="105" customFormat="1" x14ac:dyDescent="0.25">
      <c r="B1126" s="174"/>
      <c r="C1126" s="174" t="str">
        <f>TEXT(data[[#This Row],[Fecha de Envío
Cotización]],"MMMM")</f>
        <v>mayo</v>
      </c>
      <c r="D1126" s="174">
        <v>44336</v>
      </c>
      <c r="E1126" s="174" t="str">
        <f>IF(data[[#This Row],[Estatus de 
Cotización]]="PERDIDO","N/A","")</f>
        <v/>
      </c>
      <c r="F1126" s="174"/>
      <c r="G1126" s="109"/>
      <c r="H1126" s="174"/>
      <c r="I1126" s="86"/>
      <c r="J1126" s="87">
        <v>6037</v>
      </c>
      <c r="K1126" s="110" t="s">
        <v>31</v>
      </c>
      <c r="L1126" s="106"/>
      <c r="M1126" s="105" t="s">
        <v>1591</v>
      </c>
      <c r="N1126" s="106">
        <v>2</v>
      </c>
      <c r="O1126" s="107"/>
      <c r="P1126" s="27">
        <v>145.99</v>
      </c>
      <c r="Q1126" s="28">
        <f>data[[#This Row],[Costo Producto
Proveedor ($/Unid)]]*data[[#This Row],[Cantidad]]</f>
        <v>0</v>
      </c>
      <c r="R1126" s="28">
        <f>data[[#This Row],[Cantidad]]*data[[#This Row],[Precio de Venta Cliente ($/Unid)]]</f>
        <v>291.98</v>
      </c>
      <c r="S1126" s="29"/>
      <c r="T1126" s="109" t="s">
        <v>22</v>
      </c>
      <c r="U1126" s="109"/>
      <c r="V1126" s="30" t="s">
        <v>46</v>
      </c>
      <c r="W1126" s="32" t="s">
        <v>46</v>
      </c>
      <c r="X1126" s="106" t="s">
        <v>503</v>
      </c>
      <c r="Y1126" s="106" t="s">
        <v>503</v>
      </c>
      <c r="Z1126" s="106" t="s">
        <v>12</v>
      </c>
      <c r="AA1126" s="109"/>
    </row>
    <row r="1127" spans="2:27" x14ac:dyDescent="0.25">
      <c r="B1127" s="192"/>
      <c r="C1127" s="192" t="str">
        <f>TEXT(data[[#This Row],[Fecha de Envío
Cotización]],"MMMM")</f>
        <v>mayo</v>
      </c>
      <c r="D1127" s="192">
        <v>44337</v>
      </c>
      <c r="E1127" s="192">
        <v>44348</v>
      </c>
      <c r="F1127" s="192"/>
      <c r="G1127" s="109">
        <v>21000802</v>
      </c>
      <c r="H1127" s="192">
        <v>44356</v>
      </c>
      <c r="I1127" s="87">
        <v>108684</v>
      </c>
      <c r="J1127" s="87">
        <v>7777</v>
      </c>
      <c r="K1127" s="110" t="s">
        <v>130</v>
      </c>
      <c r="L1127" s="106"/>
      <c r="M1127" s="105" t="s">
        <v>1859</v>
      </c>
      <c r="N1127" s="106">
        <v>1</v>
      </c>
      <c r="O1127" s="107"/>
      <c r="P1127" s="27">
        <v>83.9</v>
      </c>
      <c r="Q1127" s="28">
        <f>data[[#This Row],[Costo Producto
Proveedor ($/Unid)]]*data[[#This Row],[Cantidad]]</f>
        <v>0</v>
      </c>
      <c r="R1127" s="28">
        <f>data[[#This Row],[Cantidad]]*data[[#This Row],[Precio de Venta Cliente ($/Unid)]]</f>
        <v>83.9</v>
      </c>
      <c r="S1127" s="29"/>
      <c r="T1127" s="109" t="s">
        <v>1858</v>
      </c>
      <c r="U1127" s="109"/>
      <c r="V1127" s="30" t="s">
        <v>44</v>
      </c>
      <c r="W1127" s="32" t="s">
        <v>44</v>
      </c>
      <c r="X1127" s="106" t="s">
        <v>503</v>
      </c>
      <c r="Y1127" s="106" t="s">
        <v>503</v>
      </c>
      <c r="Z1127" s="106" t="s">
        <v>12</v>
      </c>
      <c r="AA1127" s="109" t="s">
        <v>2001</v>
      </c>
    </row>
    <row r="1128" spans="2:27" x14ac:dyDescent="0.25">
      <c r="B1128" s="192"/>
      <c r="C1128" s="192" t="str">
        <f>TEXT(data[[#This Row],[Fecha de Envío
Cotización]],"MMMM")</f>
        <v>mayo</v>
      </c>
      <c r="D1128" s="192">
        <v>44337</v>
      </c>
      <c r="E1128" s="174" t="str">
        <f>IF(data[[#This Row],[Estatus de 
Cotización]]="PERDIDO","N/A","")</f>
        <v>N/A</v>
      </c>
      <c r="F1128" s="192"/>
      <c r="G1128" s="109"/>
      <c r="H1128" s="192"/>
      <c r="I1128" s="87">
        <v>111334</v>
      </c>
      <c r="J1128" s="87">
        <v>7777</v>
      </c>
      <c r="K1128" s="110" t="s">
        <v>130</v>
      </c>
      <c r="L1128" s="106"/>
      <c r="M1128" s="105" t="s">
        <v>1860</v>
      </c>
      <c r="N1128" s="106">
        <v>5</v>
      </c>
      <c r="O1128" s="107"/>
      <c r="P1128" s="27">
        <v>3.9</v>
      </c>
      <c r="Q1128" s="28">
        <f>data[[#This Row],[Costo Producto
Proveedor ($/Unid)]]*data[[#This Row],[Cantidad]]</f>
        <v>0</v>
      </c>
      <c r="R1128" s="28">
        <f>data[[#This Row],[Cantidad]]*data[[#This Row],[Precio de Venta Cliente ($/Unid)]]</f>
        <v>19.5</v>
      </c>
      <c r="S1128" s="29"/>
      <c r="T1128" s="109" t="s">
        <v>1858</v>
      </c>
      <c r="U1128" s="109"/>
      <c r="V1128" s="30" t="s">
        <v>42</v>
      </c>
      <c r="W1128" s="32" t="s">
        <v>42</v>
      </c>
      <c r="X1128" s="106" t="s">
        <v>503</v>
      </c>
      <c r="Y1128" s="106" t="s">
        <v>503</v>
      </c>
      <c r="Z1128" s="106" t="s">
        <v>12</v>
      </c>
      <c r="AA1128" s="109"/>
    </row>
    <row r="1129" spans="2:27" x14ac:dyDescent="0.25">
      <c r="B1129" s="192"/>
      <c r="C1129" s="192" t="str">
        <f>TEXT(data[[#This Row],[Fecha de Envío
Cotización]],"MMMM")</f>
        <v>mayo</v>
      </c>
      <c r="D1129" s="192">
        <v>44337</v>
      </c>
      <c r="E1129" s="192">
        <v>44348</v>
      </c>
      <c r="F1129" s="192"/>
      <c r="G1129" s="109">
        <v>21000802</v>
      </c>
      <c r="H1129" s="192">
        <v>44356</v>
      </c>
      <c r="I1129" s="87">
        <v>111445</v>
      </c>
      <c r="J1129" s="87">
        <v>7777</v>
      </c>
      <c r="K1129" s="110" t="s">
        <v>130</v>
      </c>
      <c r="L1129" s="106"/>
      <c r="M1129" s="105" t="s">
        <v>1861</v>
      </c>
      <c r="N1129" s="106">
        <v>5</v>
      </c>
      <c r="O1129" s="107"/>
      <c r="P1129" s="27">
        <v>167.5</v>
      </c>
      <c r="Q1129" s="28">
        <f>data[[#This Row],[Costo Producto
Proveedor ($/Unid)]]*data[[#This Row],[Cantidad]]</f>
        <v>0</v>
      </c>
      <c r="R1129" s="28">
        <f>data[[#This Row],[Cantidad]]*data[[#This Row],[Precio de Venta Cliente ($/Unid)]]</f>
        <v>837.5</v>
      </c>
      <c r="S1129" s="29"/>
      <c r="T1129" s="109" t="s">
        <v>1858</v>
      </c>
      <c r="U1129" s="109"/>
      <c r="V1129" s="30" t="s">
        <v>44</v>
      </c>
      <c r="W1129" s="32" t="s">
        <v>44</v>
      </c>
      <c r="X1129" s="106" t="s">
        <v>503</v>
      </c>
      <c r="Y1129" s="106" t="s">
        <v>503</v>
      </c>
      <c r="Z1129" s="106" t="s">
        <v>12</v>
      </c>
      <c r="AA1129" s="109" t="s">
        <v>2001</v>
      </c>
    </row>
    <row r="1130" spans="2:27" x14ac:dyDescent="0.25">
      <c r="B1130" s="192"/>
      <c r="C1130" s="192" t="str">
        <f>TEXT(data[[#This Row],[Fecha de Envío
Cotización]],"MMMM")</f>
        <v>mayo</v>
      </c>
      <c r="D1130" s="192">
        <v>44337</v>
      </c>
      <c r="E1130" s="174" t="str">
        <f>IF(data[[#This Row],[Estatus de 
Cotización]]="PERDIDO","N/A","")</f>
        <v>N/A</v>
      </c>
      <c r="F1130" s="192"/>
      <c r="G1130" s="109"/>
      <c r="H1130" s="192"/>
      <c r="I1130" s="87">
        <v>97477</v>
      </c>
      <c r="J1130" s="87">
        <v>7777</v>
      </c>
      <c r="K1130" s="110" t="s">
        <v>130</v>
      </c>
      <c r="L1130" s="106"/>
      <c r="M1130" s="105" t="s">
        <v>1862</v>
      </c>
      <c r="N1130" s="106">
        <v>4</v>
      </c>
      <c r="O1130" s="107"/>
      <c r="P1130" s="27">
        <v>4.5</v>
      </c>
      <c r="Q1130" s="28">
        <f>data[[#This Row],[Costo Producto
Proveedor ($/Unid)]]*data[[#This Row],[Cantidad]]</f>
        <v>0</v>
      </c>
      <c r="R1130" s="28">
        <f>data[[#This Row],[Cantidad]]*data[[#This Row],[Precio de Venta Cliente ($/Unid)]]</f>
        <v>18</v>
      </c>
      <c r="S1130" s="29"/>
      <c r="T1130" s="109" t="s">
        <v>1858</v>
      </c>
      <c r="U1130" s="109"/>
      <c r="V1130" s="30" t="s">
        <v>42</v>
      </c>
      <c r="W1130" s="32" t="s">
        <v>42</v>
      </c>
      <c r="X1130" s="106" t="s">
        <v>503</v>
      </c>
      <c r="Y1130" s="106" t="s">
        <v>503</v>
      </c>
      <c r="Z1130" s="106" t="s">
        <v>12</v>
      </c>
      <c r="AA1130" s="109"/>
    </row>
    <row r="1131" spans="2:27" x14ac:dyDescent="0.25">
      <c r="B1131" s="192"/>
      <c r="C1131" s="192" t="str">
        <f>TEXT(data[[#This Row],[Fecha de Envío
Cotización]],"MMMM")</f>
        <v>mayo</v>
      </c>
      <c r="D1131" s="192">
        <v>44337</v>
      </c>
      <c r="E1131" s="174" t="str">
        <f>IF(data[[#This Row],[Estatus de 
Cotización]]="PERDIDO","N/A","")</f>
        <v>N/A</v>
      </c>
      <c r="F1131" s="192"/>
      <c r="G1131" s="109"/>
      <c r="H1131" s="192"/>
      <c r="I1131" s="87">
        <v>109068</v>
      </c>
      <c r="J1131" s="87">
        <v>7777</v>
      </c>
      <c r="K1131" s="110" t="s">
        <v>130</v>
      </c>
      <c r="L1131" s="106"/>
      <c r="M1131" s="105" t="s">
        <v>1863</v>
      </c>
      <c r="N1131" s="106">
        <v>5</v>
      </c>
      <c r="O1131" s="107"/>
      <c r="P1131" s="27">
        <v>9.5</v>
      </c>
      <c r="Q1131" s="28">
        <f>data[[#This Row],[Costo Producto
Proveedor ($/Unid)]]*data[[#This Row],[Cantidad]]</f>
        <v>0</v>
      </c>
      <c r="R1131" s="28">
        <f>data[[#This Row],[Cantidad]]*data[[#This Row],[Precio de Venta Cliente ($/Unid)]]</f>
        <v>47.5</v>
      </c>
      <c r="S1131" s="29"/>
      <c r="T1131" s="109" t="s">
        <v>1858</v>
      </c>
      <c r="U1131" s="109"/>
      <c r="V1131" s="30" t="s">
        <v>42</v>
      </c>
      <c r="W1131" s="32" t="s">
        <v>42</v>
      </c>
      <c r="X1131" s="106" t="s">
        <v>503</v>
      </c>
      <c r="Y1131" s="106" t="s">
        <v>503</v>
      </c>
      <c r="Z1131" s="106" t="s">
        <v>12</v>
      </c>
      <c r="AA1131" s="109"/>
    </row>
    <row r="1132" spans="2:27" x14ac:dyDescent="0.25">
      <c r="B1132" s="192"/>
      <c r="C1132" s="192" t="str">
        <f>TEXT(data[[#This Row],[Fecha de Envío
Cotización]],"MMMM")</f>
        <v>mayo</v>
      </c>
      <c r="D1132" s="192">
        <v>44337</v>
      </c>
      <c r="E1132" s="174" t="str">
        <f>IF(data[[#This Row],[Estatus de 
Cotización]]="PERDIDO","N/A","")</f>
        <v>N/A</v>
      </c>
      <c r="F1132" s="192"/>
      <c r="G1132" s="109"/>
      <c r="H1132" s="192"/>
      <c r="I1132" s="87">
        <v>121106</v>
      </c>
      <c r="J1132" s="87">
        <v>7777</v>
      </c>
      <c r="K1132" s="110" t="s">
        <v>130</v>
      </c>
      <c r="L1132" s="106"/>
      <c r="M1132" s="105" t="s">
        <v>1864</v>
      </c>
      <c r="N1132" s="106">
        <v>3</v>
      </c>
      <c r="O1132" s="107"/>
      <c r="P1132" s="27">
        <v>182.3</v>
      </c>
      <c r="Q1132" s="28">
        <f>data[[#This Row],[Costo Producto
Proveedor ($/Unid)]]*data[[#This Row],[Cantidad]]</f>
        <v>0</v>
      </c>
      <c r="R1132" s="28">
        <f>data[[#This Row],[Cantidad]]*data[[#This Row],[Precio de Venta Cliente ($/Unid)]]</f>
        <v>546.90000000000009</v>
      </c>
      <c r="S1132" s="29"/>
      <c r="T1132" s="109" t="s">
        <v>1858</v>
      </c>
      <c r="U1132" s="109"/>
      <c r="V1132" s="30" t="s">
        <v>42</v>
      </c>
      <c r="W1132" s="32" t="s">
        <v>42</v>
      </c>
      <c r="X1132" s="106" t="s">
        <v>503</v>
      </c>
      <c r="Y1132" s="106" t="s">
        <v>503</v>
      </c>
      <c r="Z1132" s="106" t="s">
        <v>12</v>
      </c>
      <c r="AA1132" s="109"/>
    </row>
    <row r="1133" spans="2:27" x14ac:dyDescent="0.25">
      <c r="B1133" s="192"/>
      <c r="C1133" s="192" t="str">
        <f>TEXT(data[[#This Row],[Fecha de Envío
Cotización]],"MMMM")</f>
        <v>mayo</v>
      </c>
      <c r="D1133" s="192">
        <v>44337</v>
      </c>
      <c r="E1133" s="192">
        <v>44348</v>
      </c>
      <c r="F1133" s="192"/>
      <c r="G1133" s="109">
        <v>21000802</v>
      </c>
      <c r="H1133" s="192">
        <v>44356</v>
      </c>
      <c r="I1133" s="87">
        <v>111438</v>
      </c>
      <c r="J1133" s="87">
        <v>7777</v>
      </c>
      <c r="K1133" s="110" t="s">
        <v>130</v>
      </c>
      <c r="L1133" s="106"/>
      <c r="M1133" s="105" t="s">
        <v>1865</v>
      </c>
      <c r="N1133" s="106">
        <v>2</v>
      </c>
      <c r="O1133" s="107"/>
      <c r="P1133" s="27">
        <v>70.599999999999994</v>
      </c>
      <c r="Q1133" s="28">
        <f>data[[#This Row],[Costo Producto
Proveedor ($/Unid)]]*data[[#This Row],[Cantidad]]</f>
        <v>0</v>
      </c>
      <c r="R1133" s="28">
        <f>data[[#This Row],[Cantidad]]*data[[#This Row],[Precio de Venta Cliente ($/Unid)]]</f>
        <v>141.19999999999999</v>
      </c>
      <c r="S1133" s="29"/>
      <c r="T1133" s="109" t="s">
        <v>1858</v>
      </c>
      <c r="U1133" s="109"/>
      <c r="V1133" s="30" t="s">
        <v>44</v>
      </c>
      <c r="W1133" s="32" t="s">
        <v>44</v>
      </c>
      <c r="X1133" s="106" t="s">
        <v>503</v>
      </c>
      <c r="Y1133" s="106" t="s">
        <v>503</v>
      </c>
      <c r="Z1133" s="106" t="s">
        <v>12</v>
      </c>
      <c r="AA1133" s="109" t="s">
        <v>2001</v>
      </c>
    </row>
    <row r="1134" spans="2:27" x14ac:dyDescent="0.25">
      <c r="B1134" s="192"/>
      <c r="C1134" s="192" t="str">
        <f>TEXT(data[[#This Row],[Fecha de Envío
Cotización]],"MMMM")</f>
        <v>mayo</v>
      </c>
      <c r="D1134" s="192">
        <v>44337</v>
      </c>
      <c r="E1134" s="192">
        <v>44348</v>
      </c>
      <c r="F1134" s="192"/>
      <c r="G1134" s="109">
        <v>21000802</v>
      </c>
      <c r="H1134" s="192">
        <v>44356</v>
      </c>
      <c r="I1134" s="87">
        <v>111444</v>
      </c>
      <c r="J1134" s="87">
        <v>7777</v>
      </c>
      <c r="K1134" s="110" t="s">
        <v>130</v>
      </c>
      <c r="L1134" s="106"/>
      <c r="M1134" s="105" t="s">
        <v>1866</v>
      </c>
      <c r="N1134" s="106">
        <v>2</v>
      </c>
      <c r="O1134" s="107"/>
      <c r="P1134" s="27">
        <v>143.5</v>
      </c>
      <c r="Q1134" s="28">
        <f>data[[#This Row],[Costo Producto
Proveedor ($/Unid)]]*data[[#This Row],[Cantidad]]</f>
        <v>0</v>
      </c>
      <c r="R1134" s="28">
        <f>data[[#This Row],[Cantidad]]*data[[#This Row],[Precio de Venta Cliente ($/Unid)]]</f>
        <v>287</v>
      </c>
      <c r="S1134" s="29"/>
      <c r="T1134" s="109" t="s">
        <v>1858</v>
      </c>
      <c r="U1134" s="109"/>
      <c r="V1134" s="30" t="s">
        <v>44</v>
      </c>
      <c r="W1134" s="32" t="s">
        <v>44</v>
      </c>
      <c r="X1134" s="106" t="s">
        <v>503</v>
      </c>
      <c r="Y1134" s="106" t="s">
        <v>503</v>
      </c>
      <c r="Z1134" s="106" t="s">
        <v>12</v>
      </c>
      <c r="AA1134" s="109" t="s">
        <v>2001</v>
      </c>
    </row>
    <row r="1135" spans="2:27" x14ac:dyDescent="0.25">
      <c r="B1135" s="192"/>
      <c r="C1135" s="192" t="str">
        <f>TEXT(data[[#This Row],[Fecha de Envío
Cotización]],"MMMM")</f>
        <v>mayo</v>
      </c>
      <c r="D1135" s="192">
        <v>44337</v>
      </c>
      <c r="E1135" s="174" t="str">
        <f>IF(data[[#This Row],[Estatus de 
Cotización]]="PERDIDO","N/A","")</f>
        <v>N/A</v>
      </c>
      <c r="F1135" s="192"/>
      <c r="G1135" s="109"/>
      <c r="H1135" s="192"/>
      <c r="I1135" s="87">
        <v>119198</v>
      </c>
      <c r="J1135" s="87">
        <v>7777</v>
      </c>
      <c r="K1135" s="110" t="s">
        <v>130</v>
      </c>
      <c r="L1135" s="106"/>
      <c r="M1135" s="105" t="s">
        <v>1867</v>
      </c>
      <c r="N1135" s="106">
        <v>1</v>
      </c>
      <c r="O1135" s="107"/>
      <c r="P1135" s="27">
        <v>527.47</v>
      </c>
      <c r="Q1135" s="28">
        <f>data[[#This Row],[Costo Producto
Proveedor ($/Unid)]]*data[[#This Row],[Cantidad]]</f>
        <v>0</v>
      </c>
      <c r="R1135" s="28">
        <f>data[[#This Row],[Cantidad]]*data[[#This Row],[Precio de Venta Cliente ($/Unid)]]</f>
        <v>527.47</v>
      </c>
      <c r="S1135" s="29"/>
      <c r="T1135" s="109" t="s">
        <v>1858</v>
      </c>
      <c r="U1135" s="109"/>
      <c r="V1135" s="30" t="s">
        <v>42</v>
      </c>
      <c r="W1135" s="32" t="s">
        <v>42</v>
      </c>
      <c r="X1135" s="106" t="s">
        <v>503</v>
      </c>
      <c r="Y1135" s="106" t="s">
        <v>503</v>
      </c>
      <c r="Z1135" s="106" t="s">
        <v>12</v>
      </c>
      <c r="AA1135" s="109"/>
    </row>
    <row r="1136" spans="2:27" x14ac:dyDescent="0.25">
      <c r="B1136" s="192"/>
      <c r="C1136" s="192" t="str">
        <f>TEXT(data[[#This Row],[Fecha de Envío
Cotización]],"MMMM")</f>
        <v>mayo</v>
      </c>
      <c r="D1136" s="192">
        <v>44337</v>
      </c>
      <c r="E1136" s="174" t="str">
        <f>IF(data[[#This Row],[Estatus de 
Cotización]]="PERDIDO","N/A","")</f>
        <v>N/A</v>
      </c>
      <c r="F1136" s="192"/>
      <c r="G1136" s="109"/>
      <c r="H1136" s="192"/>
      <c r="I1136" s="87">
        <v>121762</v>
      </c>
      <c r="J1136" s="87">
        <v>7777</v>
      </c>
      <c r="K1136" s="110" t="s">
        <v>130</v>
      </c>
      <c r="L1136" s="106"/>
      <c r="M1136" t="s">
        <v>1868</v>
      </c>
      <c r="N1136" s="106">
        <v>1</v>
      </c>
      <c r="O1136" s="107"/>
      <c r="P1136" s="27">
        <v>765</v>
      </c>
      <c r="Q1136" s="28">
        <f>data[[#This Row],[Costo Producto
Proveedor ($/Unid)]]*data[[#This Row],[Cantidad]]</f>
        <v>0</v>
      </c>
      <c r="R1136" s="28">
        <f>data[[#This Row],[Cantidad]]*data[[#This Row],[Precio de Venta Cliente ($/Unid)]]</f>
        <v>765</v>
      </c>
      <c r="S1136" s="29"/>
      <c r="T1136" s="109" t="s">
        <v>1858</v>
      </c>
      <c r="U1136" s="109"/>
      <c r="V1136" s="30" t="s">
        <v>42</v>
      </c>
      <c r="W1136" s="32" t="s">
        <v>42</v>
      </c>
      <c r="X1136" s="106" t="s">
        <v>503</v>
      </c>
      <c r="Y1136" s="106" t="s">
        <v>503</v>
      </c>
      <c r="Z1136" s="106" t="s">
        <v>12</v>
      </c>
      <c r="AA1136" s="109"/>
    </row>
    <row r="1137" spans="2:27" x14ac:dyDescent="0.25">
      <c r="B1137" s="192"/>
      <c r="C1137" s="192" t="str">
        <f>TEXT(data[[#This Row],[Fecha de Envío
Cotización]],"MMMM")</f>
        <v>mayo</v>
      </c>
      <c r="D1137" s="192">
        <v>44337</v>
      </c>
      <c r="E1137" s="174" t="str">
        <f>IF(data[[#This Row],[Estatus de 
Cotización]]="PERDIDO","N/A","")</f>
        <v>N/A</v>
      </c>
      <c r="F1137" s="192"/>
      <c r="G1137" s="109"/>
      <c r="H1137" s="192"/>
      <c r="I1137" s="87">
        <v>129175</v>
      </c>
      <c r="J1137" s="87">
        <v>7777</v>
      </c>
      <c r="K1137" s="110" t="s">
        <v>130</v>
      </c>
      <c r="L1137" s="106"/>
      <c r="M1137" t="s">
        <v>1869</v>
      </c>
      <c r="N1137" s="106">
        <v>1</v>
      </c>
      <c r="O1137" s="107"/>
      <c r="P1137" s="27">
        <v>1892</v>
      </c>
      <c r="Q1137" s="28">
        <f>data[[#This Row],[Costo Producto
Proveedor ($/Unid)]]*data[[#This Row],[Cantidad]]</f>
        <v>0</v>
      </c>
      <c r="R1137" s="28">
        <f>data[[#This Row],[Cantidad]]*data[[#This Row],[Precio de Venta Cliente ($/Unid)]]</f>
        <v>1892</v>
      </c>
      <c r="S1137" s="29"/>
      <c r="T1137" s="109" t="s">
        <v>1858</v>
      </c>
      <c r="U1137" s="109"/>
      <c r="V1137" s="30" t="s">
        <v>42</v>
      </c>
      <c r="W1137" s="32" t="s">
        <v>42</v>
      </c>
      <c r="X1137" s="106" t="s">
        <v>503</v>
      </c>
      <c r="Y1137" s="106" t="s">
        <v>503</v>
      </c>
      <c r="Z1137" s="106" t="s">
        <v>12</v>
      </c>
      <c r="AA1137" s="109"/>
    </row>
    <row r="1138" spans="2:27" x14ac:dyDescent="0.25">
      <c r="B1138" s="192"/>
      <c r="C1138" s="192" t="str">
        <f>TEXT(data[[#This Row],[Fecha de Envío
Cotización]],"MMMM")</f>
        <v>mayo</v>
      </c>
      <c r="D1138" s="192">
        <v>44337</v>
      </c>
      <c r="E1138" s="192">
        <v>44348</v>
      </c>
      <c r="F1138" s="192"/>
      <c r="G1138" s="109">
        <v>21000802</v>
      </c>
      <c r="H1138" s="192">
        <v>44356</v>
      </c>
      <c r="I1138" s="87">
        <v>121984</v>
      </c>
      <c r="J1138" s="87">
        <v>7777</v>
      </c>
      <c r="K1138" s="110" t="s">
        <v>130</v>
      </c>
      <c r="L1138" s="106"/>
      <c r="M1138" t="s">
        <v>1877</v>
      </c>
      <c r="N1138" s="106">
        <v>1</v>
      </c>
      <c r="O1138" s="107"/>
      <c r="P1138" s="27">
        <v>80.400000000000006</v>
      </c>
      <c r="Q1138" s="28">
        <f>data[[#This Row],[Costo Producto
Proveedor ($/Unid)]]*data[[#This Row],[Cantidad]]</f>
        <v>0</v>
      </c>
      <c r="R1138" s="28">
        <f>data[[#This Row],[Cantidad]]*data[[#This Row],[Precio de Venta Cliente ($/Unid)]]</f>
        <v>80.400000000000006</v>
      </c>
      <c r="S1138" s="29"/>
      <c r="T1138" s="109" t="s">
        <v>1858</v>
      </c>
      <c r="U1138" s="109"/>
      <c r="V1138" s="30" t="s">
        <v>44</v>
      </c>
      <c r="W1138" s="32" t="s">
        <v>44</v>
      </c>
      <c r="X1138" s="106" t="s">
        <v>503</v>
      </c>
      <c r="Y1138" s="106" t="s">
        <v>503</v>
      </c>
      <c r="Z1138" s="106" t="s">
        <v>12</v>
      </c>
      <c r="AA1138" s="109" t="s">
        <v>2001</v>
      </c>
    </row>
    <row r="1139" spans="2:27" x14ac:dyDescent="0.25">
      <c r="B1139" s="192"/>
      <c r="C1139" s="192" t="str">
        <f>TEXT(data[[#This Row],[Fecha de Envío
Cotización]],"MMMM")</f>
        <v>mayo</v>
      </c>
      <c r="D1139" s="192">
        <v>44337</v>
      </c>
      <c r="E1139" s="192">
        <v>44348</v>
      </c>
      <c r="F1139" s="192"/>
      <c r="G1139" s="109">
        <v>21000802</v>
      </c>
      <c r="H1139" s="192">
        <v>44356</v>
      </c>
      <c r="I1139" s="87">
        <v>123996</v>
      </c>
      <c r="J1139" s="87">
        <v>7777</v>
      </c>
      <c r="K1139" s="110" t="s">
        <v>130</v>
      </c>
      <c r="L1139" s="106"/>
      <c r="M1139" t="s">
        <v>1870</v>
      </c>
      <c r="N1139" s="106">
        <v>5</v>
      </c>
      <c r="O1139" s="107"/>
      <c r="P1139" s="27">
        <v>74</v>
      </c>
      <c r="Q1139" s="28">
        <f>data[[#This Row],[Costo Producto
Proveedor ($/Unid)]]*data[[#This Row],[Cantidad]]</f>
        <v>0</v>
      </c>
      <c r="R1139" s="28">
        <f>data[[#This Row],[Cantidad]]*data[[#This Row],[Precio de Venta Cliente ($/Unid)]]</f>
        <v>370</v>
      </c>
      <c r="S1139" s="29"/>
      <c r="T1139" s="109" t="s">
        <v>1858</v>
      </c>
      <c r="U1139" s="109"/>
      <c r="V1139" s="30" t="s">
        <v>44</v>
      </c>
      <c r="W1139" s="32" t="s">
        <v>44</v>
      </c>
      <c r="X1139" s="106" t="s">
        <v>503</v>
      </c>
      <c r="Y1139" s="106" t="s">
        <v>503</v>
      </c>
      <c r="Z1139" s="106" t="s">
        <v>12</v>
      </c>
      <c r="AA1139" s="109" t="s">
        <v>2001</v>
      </c>
    </row>
    <row r="1140" spans="2:27" x14ac:dyDescent="0.25">
      <c r="B1140" s="192"/>
      <c r="C1140" s="192" t="str">
        <f>TEXT(data[[#This Row],[Fecha de Envío
Cotización]],"MMMM")</f>
        <v>mayo</v>
      </c>
      <c r="D1140" s="192">
        <v>44337</v>
      </c>
      <c r="E1140" s="174" t="str">
        <f>IF(data[[#This Row],[Estatus de 
Cotización]]="PERDIDO","N/A","")</f>
        <v>N/A</v>
      </c>
      <c r="F1140" s="192"/>
      <c r="G1140" s="109"/>
      <c r="H1140" s="192"/>
      <c r="I1140" s="87">
        <v>97387</v>
      </c>
      <c r="J1140" s="87">
        <v>7777</v>
      </c>
      <c r="K1140" s="110" t="s">
        <v>130</v>
      </c>
      <c r="L1140" s="106"/>
      <c r="M1140" t="s">
        <v>1871</v>
      </c>
      <c r="N1140" s="106">
        <v>50</v>
      </c>
      <c r="O1140" s="107"/>
      <c r="P1140" s="27">
        <v>1.35</v>
      </c>
      <c r="Q1140" s="28">
        <f>data[[#This Row],[Costo Producto
Proveedor ($/Unid)]]*data[[#This Row],[Cantidad]]</f>
        <v>0</v>
      </c>
      <c r="R1140" s="28">
        <f>data[[#This Row],[Cantidad]]*data[[#This Row],[Precio de Venta Cliente ($/Unid)]]</f>
        <v>67.5</v>
      </c>
      <c r="S1140" s="29"/>
      <c r="T1140" s="109" t="s">
        <v>1858</v>
      </c>
      <c r="U1140" s="109"/>
      <c r="V1140" s="30" t="s">
        <v>42</v>
      </c>
      <c r="W1140" s="32" t="s">
        <v>42</v>
      </c>
      <c r="X1140" s="106" t="s">
        <v>503</v>
      </c>
      <c r="Y1140" s="106" t="s">
        <v>503</v>
      </c>
      <c r="Z1140" s="106" t="s">
        <v>12</v>
      </c>
      <c r="AA1140" s="109"/>
    </row>
    <row r="1141" spans="2:27" x14ac:dyDescent="0.25">
      <c r="B1141" s="192"/>
      <c r="C1141" s="192" t="str">
        <f>TEXT(data[[#This Row],[Fecha de Envío
Cotización]],"MMMM")</f>
        <v>mayo</v>
      </c>
      <c r="D1141" s="192">
        <v>44337</v>
      </c>
      <c r="E1141" s="174" t="str">
        <f>IF(data[[#This Row],[Estatus de 
Cotización]]="PERDIDO","N/A","")</f>
        <v>N/A</v>
      </c>
      <c r="F1141" s="192"/>
      <c r="G1141" s="109"/>
      <c r="H1141" s="192"/>
      <c r="I1141" s="87">
        <v>111330</v>
      </c>
      <c r="J1141" s="87">
        <v>7777</v>
      </c>
      <c r="K1141" s="110" t="s">
        <v>130</v>
      </c>
      <c r="L1141" s="106"/>
      <c r="M1141" t="s">
        <v>1872</v>
      </c>
      <c r="N1141" s="106">
        <v>10</v>
      </c>
      <c r="O1141" s="107"/>
      <c r="P1141" s="27">
        <v>1.88</v>
      </c>
      <c r="Q1141" s="28">
        <f>data[[#This Row],[Costo Producto
Proveedor ($/Unid)]]*data[[#This Row],[Cantidad]]</f>
        <v>0</v>
      </c>
      <c r="R1141" s="28">
        <f>data[[#This Row],[Cantidad]]*data[[#This Row],[Precio de Venta Cliente ($/Unid)]]</f>
        <v>18.799999999999997</v>
      </c>
      <c r="S1141" s="29"/>
      <c r="T1141" s="109" t="s">
        <v>1858</v>
      </c>
      <c r="U1141" s="109"/>
      <c r="V1141" s="30" t="s">
        <v>42</v>
      </c>
      <c r="W1141" s="32" t="s">
        <v>42</v>
      </c>
      <c r="X1141" s="106" t="s">
        <v>503</v>
      </c>
      <c r="Y1141" s="106" t="s">
        <v>503</v>
      </c>
      <c r="Z1141" s="106" t="s">
        <v>12</v>
      </c>
      <c r="AA1141" s="109"/>
    </row>
    <row r="1142" spans="2:27" x14ac:dyDescent="0.25">
      <c r="B1142" s="192"/>
      <c r="C1142" s="192" t="str">
        <f>TEXT(data[[#This Row],[Fecha de Envío
Cotización]],"MMMM")</f>
        <v>mayo</v>
      </c>
      <c r="D1142" s="192">
        <v>44337</v>
      </c>
      <c r="E1142" s="174" t="str">
        <f>IF(data[[#This Row],[Estatus de 
Cotización]]="PERDIDO","N/A","")</f>
        <v>N/A</v>
      </c>
      <c r="F1142" s="192"/>
      <c r="G1142" s="109"/>
      <c r="H1142" s="192"/>
      <c r="I1142" s="87">
        <v>111331</v>
      </c>
      <c r="J1142" s="87">
        <v>7777</v>
      </c>
      <c r="K1142" s="110" t="s">
        <v>130</v>
      </c>
      <c r="L1142" s="106"/>
      <c r="M1142" t="s">
        <v>1873</v>
      </c>
      <c r="N1142" s="106">
        <v>10</v>
      </c>
      <c r="O1142" s="107"/>
      <c r="P1142" s="27">
        <v>2.33</v>
      </c>
      <c r="Q1142" s="28">
        <f>data[[#This Row],[Costo Producto
Proveedor ($/Unid)]]*data[[#This Row],[Cantidad]]</f>
        <v>0</v>
      </c>
      <c r="R1142" s="28">
        <f>data[[#This Row],[Cantidad]]*data[[#This Row],[Precio de Venta Cliente ($/Unid)]]</f>
        <v>23.3</v>
      </c>
      <c r="S1142" s="29"/>
      <c r="T1142" s="109" t="s">
        <v>1858</v>
      </c>
      <c r="U1142" s="109"/>
      <c r="V1142" s="30" t="s">
        <v>42</v>
      </c>
      <c r="W1142" s="32" t="s">
        <v>42</v>
      </c>
      <c r="X1142" s="106" t="s">
        <v>503</v>
      </c>
      <c r="Y1142" s="106" t="s">
        <v>503</v>
      </c>
      <c r="Z1142" s="106" t="s">
        <v>12</v>
      </c>
      <c r="AA1142" s="109"/>
    </row>
    <row r="1143" spans="2:27" x14ac:dyDescent="0.25">
      <c r="B1143" s="192"/>
      <c r="C1143" s="192" t="str">
        <f>TEXT(data[[#This Row],[Fecha de Envío
Cotización]],"MMMM")</f>
        <v>mayo</v>
      </c>
      <c r="D1143" s="192">
        <v>44337</v>
      </c>
      <c r="E1143" s="192">
        <v>44348</v>
      </c>
      <c r="F1143" s="192"/>
      <c r="G1143" s="109">
        <v>21000802</v>
      </c>
      <c r="H1143" s="192">
        <v>44356</v>
      </c>
      <c r="I1143" s="87">
        <v>111436</v>
      </c>
      <c r="J1143" s="87">
        <v>7777</v>
      </c>
      <c r="K1143" s="110" t="s">
        <v>130</v>
      </c>
      <c r="L1143" s="106"/>
      <c r="M1143" t="s">
        <v>1874</v>
      </c>
      <c r="N1143" s="106">
        <v>3</v>
      </c>
      <c r="O1143" s="107"/>
      <c r="P1143" s="27">
        <v>84</v>
      </c>
      <c r="Q1143" s="28">
        <f>data[[#This Row],[Costo Producto
Proveedor ($/Unid)]]*data[[#This Row],[Cantidad]]</f>
        <v>0</v>
      </c>
      <c r="R1143" s="28">
        <f>data[[#This Row],[Cantidad]]*data[[#This Row],[Precio de Venta Cliente ($/Unid)]]</f>
        <v>252</v>
      </c>
      <c r="S1143" s="29"/>
      <c r="T1143" s="109" t="s">
        <v>1858</v>
      </c>
      <c r="U1143" s="109"/>
      <c r="V1143" s="30" t="s">
        <v>44</v>
      </c>
      <c r="W1143" s="32" t="s">
        <v>44</v>
      </c>
      <c r="X1143" s="106" t="s">
        <v>503</v>
      </c>
      <c r="Y1143" s="106" t="s">
        <v>503</v>
      </c>
      <c r="Z1143" s="106" t="s">
        <v>12</v>
      </c>
      <c r="AA1143" s="109" t="s">
        <v>2001</v>
      </c>
    </row>
    <row r="1144" spans="2:27" x14ac:dyDescent="0.25">
      <c r="B1144" s="192"/>
      <c r="C1144" s="192" t="str">
        <f>TEXT(data[[#This Row],[Fecha de Envío
Cotización]],"MMMM")</f>
        <v>mayo</v>
      </c>
      <c r="D1144" s="192">
        <v>44337</v>
      </c>
      <c r="E1144" s="174" t="str">
        <f>IF(data[[#This Row],[Estatus de 
Cotización]]="PERDIDO","N/A","")</f>
        <v>N/A</v>
      </c>
      <c r="F1144" s="192"/>
      <c r="G1144" s="109"/>
      <c r="H1144" s="192"/>
      <c r="I1144" s="87">
        <v>100698</v>
      </c>
      <c r="J1144" s="87">
        <v>7777</v>
      </c>
      <c r="K1144" s="110" t="s">
        <v>130</v>
      </c>
      <c r="L1144" s="106"/>
      <c r="M1144" t="s">
        <v>1875</v>
      </c>
      <c r="N1144" s="106">
        <v>1</v>
      </c>
      <c r="O1144" s="107"/>
      <c r="P1144" s="27">
        <v>51.1</v>
      </c>
      <c r="Q1144" s="28">
        <f>data[[#This Row],[Costo Producto
Proveedor ($/Unid)]]*data[[#This Row],[Cantidad]]</f>
        <v>0</v>
      </c>
      <c r="R1144" s="28">
        <f>data[[#This Row],[Cantidad]]*data[[#This Row],[Precio de Venta Cliente ($/Unid)]]</f>
        <v>51.1</v>
      </c>
      <c r="S1144" s="29"/>
      <c r="T1144" s="109" t="s">
        <v>1858</v>
      </c>
      <c r="U1144" s="109"/>
      <c r="V1144" s="30" t="s">
        <v>42</v>
      </c>
      <c r="W1144" s="32" t="s">
        <v>42</v>
      </c>
      <c r="X1144" s="106" t="s">
        <v>503</v>
      </c>
      <c r="Y1144" s="106" t="s">
        <v>503</v>
      </c>
      <c r="Z1144" s="106" t="s">
        <v>12</v>
      </c>
      <c r="AA1144" s="109"/>
    </row>
    <row r="1145" spans="2:27" x14ac:dyDescent="0.25">
      <c r="B1145" s="192"/>
      <c r="C1145" s="192" t="str">
        <f>TEXT(data[[#This Row],[Fecha de Envío
Cotización]],"MMMM")</f>
        <v>mayo</v>
      </c>
      <c r="D1145" s="192">
        <v>44337</v>
      </c>
      <c r="E1145" s="192">
        <v>44348</v>
      </c>
      <c r="F1145" s="192"/>
      <c r="G1145" s="109">
        <v>21000802</v>
      </c>
      <c r="H1145" s="192">
        <v>44356</v>
      </c>
      <c r="I1145" s="87">
        <v>100783</v>
      </c>
      <c r="J1145" s="87">
        <v>7777</v>
      </c>
      <c r="K1145" s="110" t="s">
        <v>130</v>
      </c>
      <c r="L1145" s="106"/>
      <c r="M1145" t="s">
        <v>1876</v>
      </c>
      <c r="N1145" s="106">
        <v>1</v>
      </c>
      <c r="O1145" s="107"/>
      <c r="P1145" s="27">
        <v>82.3</v>
      </c>
      <c r="Q1145" s="28">
        <f>data[[#This Row],[Costo Producto
Proveedor ($/Unid)]]*data[[#This Row],[Cantidad]]</f>
        <v>0</v>
      </c>
      <c r="R1145" s="28">
        <f>data[[#This Row],[Cantidad]]*data[[#This Row],[Precio de Venta Cliente ($/Unid)]]</f>
        <v>82.3</v>
      </c>
      <c r="S1145" s="29"/>
      <c r="T1145" s="109" t="s">
        <v>1858</v>
      </c>
      <c r="U1145" s="109"/>
      <c r="V1145" s="30" t="s">
        <v>44</v>
      </c>
      <c r="W1145" s="32" t="s">
        <v>44</v>
      </c>
      <c r="X1145" s="106" t="s">
        <v>503</v>
      </c>
      <c r="Y1145" s="106" t="s">
        <v>503</v>
      </c>
      <c r="Z1145" s="106" t="s">
        <v>12</v>
      </c>
      <c r="AA1145" s="109" t="s">
        <v>2001</v>
      </c>
    </row>
    <row r="1146" spans="2:27" x14ac:dyDescent="0.25">
      <c r="B1146" s="192"/>
      <c r="C1146" s="192" t="str">
        <f>TEXT(data[[#This Row],[Fecha de Envío
Cotización]],"MMMM")</f>
        <v>mayo</v>
      </c>
      <c r="D1146" s="174">
        <v>44340</v>
      </c>
      <c r="E1146" s="174" t="str">
        <f>IF(data[[#This Row],[Estatus de 
Cotización]]="PERDIDO","N/A","")</f>
        <v/>
      </c>
      <c r="F1146" s="192"/>
      <c r="G1146" s="109"/>
      <c r="H1146" s="192"/>
      <c r="I1146" s="86"/>
      <c r="J1146" s="87">
        <v>6038</v>
      </c>
      <c r="K1146" s="110" t="s">
        <v>130</v>
      </c>
      <c r="L1146" s="106"/>
      <c r="M1146" t="s">
        <v>1706</v>
      </c>
      <c r="N1146" s="106">
        <v>4</v>
      </c>
      <c r="O1146" s="107"/>
      <c r="P1146" s="27">
        <v>112.7</v>
      </c>
      <c r="Q1146" s="28">
        <f>data[[#This Row],[Costo Producto
Proveedor ($/Unid)]]*data[[#This Row],[Cantidad]]</f>
        <v>0</v>
      </c>
      <c r="R1146" s="28">
        <f>data[[#This Row],[Cantidad]]*data[[#This Row],[Precio de Venta Cliente ($/Unid)]]</f>
        <v>450.8</v>
      </c>
      <c r="S1146" s="29"/>
      <c r="T1146" s="109" t="s">
        <v>56</v>
      </c>
      <c r="U1146" s="109"/>
      <c r="V1146" s="30" t="s">
        <v>46</v>
      </c>
      <c r="W1146" s="32" t="s">
        <v>46</v>
      </c>
      <c r="X1146" s="106" t="s">
        <v>503</v>
      </c>
      <c r="Y1146" s="106" t="s">
        <v>503</v>
      </c>
      <c r="Z1146" s="106" t="s">
        <v>12</v>
      </c>
      <c r="AA1146" s="109"/>
    </row>
    <row r="1147" spans="2:27" x14ac:dyDescent="0.25">
      <c r="B1147" s="192"/>
      <c r="C1147" s="192" t="str">
        <f>TEXT(data[[#This Row],[Fecha de Envío
Cotización]],"MMMM")</f>
        <v>mayo</v>
      </c>
      <c r="D1147" s="174">
        <v>44340</v>
      </c>
      <c r="E1147" s="174" t="str">
        <f>IF(data[[#This Row],[Estatus de 
Cotización]]="PERDIDO","N/A","")</f>
        <v/>
      </c>
      <c r="F1147" s="192"/>
      <c r="G1147" s="109"/>
      <c r="H1147" s="192"/>
      <c r="I1147" s="86"/>
      <c r="J1147" s="87">
        <v>6038</v>
      </c>
      <c r="K1147" s="110" t="s">
        <v>130</v>
      </c>
      <c r="L1147" s="106"/>
      <c r="M1147" t="s">
        <v>1707</v>
      </c>
      <c r="N1147" s="106">
        <v>5</v>
      </c>
      <c r="O1147" s="107"/>
      <c r="P1147" s="27">
        <v>153.33000000000001</v>
      </c>
      <c r="Q1147" s="28">
        <f>data[[#This Row],[Costo Producto
Proveedor ($/Unid)]]*data[[#This Row],[Cantidad]]</f>
        <v>0</v>
      </c>
      <c r="R1147" s="28">
        <f>data[[#This Row],[Cantidad]]*data[[#This Row],[Precio de Venta Cliente ($/Unid)]]</f>
        <v>766.65000000000009</v>
      </c>
      <c r="S1147" s="29"/>
      <c r="T1147" s="109" t="s">
        <v>56</v>
      </c>
      <c r="U1147" s="109"/>
      <c r="V1147" s="30" t="s">
        <v>46</v>
      </c>
      <c r="W1147" s="32" t="s">
        <v>46</v>
      </c>
      <c r="X1147" s="106" t="s">
        <v>503</v>
      </c>
      <c r="Y1147" s="106" t="s">
        <v>503</v>
      </c>
      <c r="Z1147" s="106" t="s">
        <v>12</v>
      </c>
      <c r="AA1147" s="109"/>
    </row>
    <row r="1148" spans="2:27" x14ac:dyDescent="0.25">
      <c r="B1148" s="192"/>
      <c r="C1148" s="192" t="str">
        <f>TEXT(data[[#This Row],[Fecha de Envío
Cotización]],"MMMM")</f>
        <v>mayo</v>
      </c>
      <c r="D1148" s="174">
        <v>44340</v>
      </c>
      <c r="E1148" s="174" t="str">
        <f>IF(data[[#This Row],[Estatus de 
Cotización]]="PERDIDO","N/A","")</f>
        <v/>
      </c>
      <c r="F1148" s="192"/>
      <c r="G1148" s="109"/>
      <c r="H1148" s="192"/>
      <c r="I1148" s="86"/>
      <c r="J1148" s="87">
        <v>6038</v>
      </c>
      <c r="K1148" s="110" t="s">
        <v>130</v>
      </c>
      <c r="L1148" s="106"/>
      <c r="M1148" t="s">
        <v>1708</v>
      </c>
      <c r="N1148" s="106">
        <v>4</v>
      </c>
      <c r="O1148" s="107"/>
      <c r="P1148" s="27">
        <v>100.66</v>
      </c>
      <c r="Q1148" s="28">
        <f>data[[#This Row],[Costo Producto
Proveedor ($/Unid)]]*data[[#This Row],[Cantidad]]</f>
        <v>0</v>
      </c>
      <c r="R1148" s="28">
        <f>data[[#This Row],[Cantidad]]*data[[#This Row],[Precio de Venta Cliente ($/Unid)]]</f>
        <v>402.64</v>
      </c>
      <c r="S1148" s="29"/>
      <c r="T1148" s="109" t="s">
        <v>56</v>
      </c>
      <c r="U1148" s="109"/>
      <c r="V1148" s="30" t="s">
        <v>46</v>
      </c>
      <c r="W1148" s="32" t="s">
        <v>46</v>
      </c>
      <c r="X1148" s="106" t="s">
        <v>503</v>
      </c>
      <c r="Y1148" s="106" t="s">
        <v>503</v>
      </c>
      <c r="Z1148" s="106" t="s">
        <v>12</v>
      </c>
      <c r="AA1148" s="109"/>
    </row>
    <row r="1149" spans="2:27" x14ac:dyDescent="0.25">
      <c r="B1149" s="192"/>
      <c r="C1149" s="192" t="str">
        <f>TEXT(data[[#This Row],[Fecha de Envío
Cotización]],"MMMM")</f>
        <v>mayo</v>
      </c>
      <c r="D1149" s="174">
        <v>44340</v>
      </c>
      <c r="E1149" s="174" t="str">
        <f>IF(data[[#This Row],[Estatus de 
Cotización]]="PERDIDO","N/A","")</f>
        <v/>
      </c>
      <c r="F1149" s="192"/>
      <c r="G1149" s="109"/>
      <c r="H1149" s="192"/>
      <c r="I1149" s="86"/>
      <c r="J1149" s="87">
        <v>6038</v>
      </c>
      <c r="K1149" s="110" t="s">
        <v>130</v>
      </c>
      <c r="L1149" s="106"/>
      <c r="M1149" t="s">
        <v>1709</v>
      </c>
      <c r="N1149" s="106">
        <v>2</v>
      </c>
      <c r="O1149" s="107"/>
      <c r="P1149" s="27">
        <v>162.36000000000001</v>
      </c>
      <c r="Q1149" s="28">
        <f>data[[#This Row],[Costo Producto
Proveedor ($/Unid)]]*data[[#This Row],[Cantidad]]</f>
        <v>0</v>
      </c>
      <c r="R1149" s="28">
        <f>data[[#This Row],[Cantidad]]*data[[#This Row],[Precio de Venta Cliente ($/Unid)]]</f>
        <v>324.72000000000003</v>
      </c>
      <c r="S1149" s="29"/>
      <c r="T1149" s="109" t="s">
        <v>56</v>
      </c>
      <c r="U1149" s="109"/>
      <c r="V1149" s="30" t="s">
        <v>46</v>
      </c>
      <c r="W1149" s="32" t="s">
        <v>46</v>
      </c>
      <c r="X1149" s="106" t="s">
        <v>503</v>
      </c>
      <c r="Y1149" s="106" t="s">
        <v>503</v>
      </c>
      <c r="Z1149" s="106" t="s">
        <v>12</v>
      </c>
      <c r="AA1149" s="109"/>
    </row>
    <row r="1150" spans="2:27" x14ac:dyDescent="0.25">
      <c r="B1150" s="192"/>
      <c r="C1150" s="192" t="str">
        <f>TEXT(data[[#This Row],[Fecha de Envío
Cotización]],"MMMM")</f>
        <v>mayo</v>
      </c>
      <c r="D1150" s="174">
        <v>44340</v>
      </c>
      <c r="E1150" s="174" t="str">
        <f>IF(data[[#This Row],[Estatus de 
Cotización]]="PERDIDO","N/A","")</f>
        <v/>
      </c>
      <c r="F1150" s="192"/>
      <c r="G1150" s="109"/>
      <c r="H1150" s="192"/>
      <c r="I1150" s="86"/>
      <c r="J1150" s="87">
        <v>6038</v>
      </c>
      <c r="K1150" s="110" t="s">
        <v>130</v>
      </c>
      <c r="L1150" s="106"/>
      <c r="M1150" s="105" t="s">
        <v>1710</v>
      </c>
      <c r="N1150" s="106">
        <v>2</v>
      </c>
      <c r="O1150" s="107"/>
      <c r="P1150" s="27">
        <v>90.25</v>
      </c>
      <c r="Q1150" s="28">
        <f>data[[#This Row],[Costo Producto
Proveedor ($/Unid)]]*data[[#This Row],[Cantidad]]</f>
        <v>0</v>
      </c>
      <c r="R1150" s="28">
        <f>data[[#This Row],[Cantidad]]*data[[#This Row],[Precio de Venta Cliente ($/Unid)]]</f>
        <v>180.5</v>
      </c>
      <c r="S1150" s="29"/>
      <c r="T1150" s="109" t="s">
        <v>56</v>
      </c>
      <c r="U1150" s="109"/>
      <c r="V1150" s="30" t="s">
        <v>46</v>
      </c>
      <c r="W1150" s="32" t="s">
        <v>46</v>
      </c>
      <c r="X1150" s="106" t="s">
        <v>503</v>
      </c>
      <c r="Y1150" s="106" t="s">
        <v>503</v>
      </c>
      <c r="Z1150" s="106" t="s">
        <v>12</v>
      </c>
      <c r="AA1150" s="109"/>
    </row>
    <row r="1151" spans="2:27" x14ac:dyDescent="0.25">
      <c r="B1151" s="192"/>
      <c r="C1151" s="192" t="str">
        <f>TEXT(data[[#This Row],[Fecha de Envío
Cotización]],"MMMM")</f>
        <v>mayo</v>
      </c>
      <c r="D1151" s="174">
        <v>44340</v>
      </c>
      <c r="E1151" s="174" t="str">
        <f>IF(data[[#This Row],[Estatus de 
Cotización]]="PERDIDO","N/A","")</f>
        <v/>
      </c>
      <c r="F1151" s="192"/>
      <c r="G1151" s="109"/>
      <c r="H1151" s="192"/>
      <c r="I1151" s="86"/>
      <c r="J1151" s="87">
        <v>6038</v>
      </c>
      <c r="K1151" s="110" t="s">
        <v>130</v>
      </c>
      <c r="L1151" s="106"/>
      <c r="M1151" t="s">
        <v>1711</v>
      </c>
      <c r="N1151" s="106">
        <v>2</v>
      </c>
      <c r="O1151" s="107"/>
      <c r="P1151" s="27">
        <v>114.21</v>
      </c>
      <c r="Q1151" s="28">
        <f>data[[#This Row],[Costo Producto
Proveedor ($/Unid)]]*data[[#This Row],[Cantidad]]</f>
        <v>0</v>
      </c>
      <c r="R1151" s="28">
        <f>data[[#This Row],[Cantidad]]*data[[#This Row],[Precio de Venta Cliente ($/Unid)]]</f>
        <v>228.42</v>
      </c>
      <c r="S1151" s="29"/>
      <c r="T1151" s="109" t="s">
        <v>56</v>
      </c>
      <c r="U1151" s="109"/>
      <c r="V1151" s="30" t="s">
        <v>46</v>
      </c>
      <c r="W1151" s="32" t="s">
        <v>46</v>
      </c>
      <c r="X1151" s="106" t="s">
        <v>503</v>
      </c>
      <c r="Y1151" s="106" t="s">
        <v>503</v>
      </c>
      <c r="Z1151" s="106" t="s">
        <v>12</v>
      </c>
      <c r="AA1151" s="109"/>
    </row>
    <row r="1152" spans="2:27" x14ac:dyDescent="0.25">
      <c r="B1152" s="192"/>
      <c r="C1152" s="192" t="str">
        <f>TEXT(data[[#This Row],[Fecha de Envío
Cotización]],"MMMM")</f>
        <v>mayo</v>
      </c>
      <c r="D1152" s="174">
        <v>44342</v>
      </c>
      <c r="E1152" s="174" t="str">
        <f>IF(data[[#This Row],[Estatus de 
Cotización]]="PERDIDO","N/A","")</f>
        <v/>
      </c>
      <c r="F1152" s="192"/>
      <c r="G1152" s="109"/>
      <c r="H1152" s="192"/>
      <c r="I1152" s="86"/>
      <c r="J1152" s="87">
        <v>6041</v>
      </c>
      <c r="K1152" s="110" t="s">
        <v>28</v>
      </c>
      <c r="L1152" s="106"/>
      <c r="M1152" s="105" t="s">
        <v>1713</v>
      </c>
      <c r="N1152" s="106">
        <v>2</v>
      </c>
      <c r="O1152" s="107"/>
      <c r="P1152" s="27">
        <v>14236.44</v>
      </c>
      <c r="Q1152" s="28">
        <f>data[[#This Row],[Costo Producto
Proveedor ($/Unid)]]*data[[#This Row],[Cantidad]]</f>
        <v>0</v>
      </c>
      <c r="R1152" s="28">
        <f>data[[#This Row],[Cantidad]]*data[[#This Row],[Precio de Venta Cliente ($/Unid)]]</f>
        <v>28472.880000000001</v>
      </c>
      <c r="S1152" s="29"/>
      <c r="T1152" s="109" t="s">
        <v>419</v>
      </c>
      <c r="U1152" s="109"/>
      <c r="V1152" s="30" t="s">
        <v>46</v>
      </c>
      <c r="W1152" s="32" t="s">
        <v>46</v>
      </c>
      <c r="X1152" s="106" t="s">
        <v>503</v>
      </c>
      <c r="Y1152" s="106" t="s">
        <v>503</v>
      </c>
      <c r="Z1152" s="106" t="s">
        <v>12</v>
      </c>
      <c r="AA1152" s="109"/>
    </row>
    <row r="1153" spans="2:27" x14ac:dyDescent="0.25">
      <c r="B1153" s="192"/>
      <c r="C1153" s="192" t="str">
        <f>TEXT(data[[#This Row],[Fecha de Envío
Cotización]],"MMMM")</f>
        <v>mayo</v>
      </c>
      <c r="D1153" s="192">
        <v>44342</v>
      </c>
      <c r="E1153" s="174" t="str">
        <f>IF(data[[#This Row],[Estatus de 
Cotización]]="PERDIDO","N/A","")</f>
        <v/>
      </c>
      <c r="F1153" s="192"/>
      <c r="G1153" s="109"/>
      <c r="H1153" s="192"/>
      <c r="I1153" s="86"/>
      <c r="J1153" s="87">
        <v>6042</v>
      </c>
      <c r="K1153" s="110" t="s">
        <v>424</v>
      </c>
      <c r="L1153" s="106"/>
      <c r="M1153" s="105" t="s">
        <v>1714</v>
      </c>
      <c r="N1153" s="106">
        <v>1</v>
      </c>
      <c r="O1153" s="107"/>
      <c r="P1153" s="27">
        <v>1126.44</v>
      </c>
      <c r="Q1153" s="28">
        <f>data[[#This Row],[Costo Producto
Proveedor ($/Unid)]]*data[[#This Row],[Cantidad]]</f>
        <v>0</v>
      </c>
      <c r="R1153" s="28">
        <f>data[[#This Row],[Cantidad]]*data[[#This Row],[Precio de Venta Cliente ($/Unid)]]</f>
        <v>1126.44</v>
      </c>
      <c r="S1153" s="29"/>
      <c r="T1153" s="109" t="s">
        <v>36</v>
      </c>
      <c r="U1153" s="109"/>
      <c r="V1153" s="30" t="s">
        <v>46</v>
      </c>
      <c r="W1153" s="32" t="s">
        <v>46</v>
      </c>
      <c r="X1153" s="106" t="s">
        <v>503</v>
      </c>
      <c r="Y1153" s="106" t="s">
        <v>503</v>
      </c>
      <c r="Z1153" s="106" t="s">
        <v>12</v>
      </c>
      <c r="AA1153" s="109"/>
    </row>
    <row r="1154" spans="2:27" x14ac:dyDescent="0.25">
      <c r="B1154" s="192"/>
      <c r="C1154" s="192" t="str">
        <f>TEXT(data[[#This Row],[Fecha de Envío
Cotización]],"MMMM")</f>
        <v>mayo</v>
      </c>
      <c r="D1154" s="192">
        <v>44344</v>
      </c>
      <c r="E1154" s="174" t="str">
        <f>IF(data[[#This Row],[Estatus de 
Cotización]]="PERDIDO","N/A","")</f>
        <v/>
      </c>
      <c r="F1154" s="192"/>
      <c r="G1154" s="109"/>
      <c r="H1154" s="192"/>
      <c r="I1154" s="86"/>
      <c r="J1154" s="87">
        <v>6043</v>
      </c>
      <c r="K1154" s="110" t="s">
        <v>31</v>
      </c>
      <c r="L1154" s="106"/>
      <c r="M1154" s="105" t="s">
        <v>1765</v>
      </c>
      <c r="N1154" s="106">
        <v>1</v>
      </c>
      <c r="O1154" s="107"/>
      <c r="P1154" s="27">
        <v>3306.6</v>
      </c>
      <c r="Q1154" s="28">
        <f>data[[#This Row],[Costo Producto
Proveedor ($/Unid)]]*data[[#This Row],[Cantidad]]</f>
        <v>0</v>
      </c>
      <c r="R1154" s="28">
        <f>data[[#This Row],[Cantidad]]*data[[#This Row],[Precio de Venta Cliente ($/Unid)]]</f>
        <v>3306.6</v>
      </c>
      <c r="S1154" s="29"/>
      <c r="T1154" s="109" t="s">
        <v>16</v>
      </c>
      <c r="U1154" s="109"/>
      <c r="V1154" s="30" t="s">
        <v>46</v>
      </c>
      <c r="W1154" s="32" t="s">
        <v>46</v>
      </c>
      <c r="X1154" s="106" t="s">
        <v>503</v>
      </c>
      <c r="Y1154" s="106" t="s">
        <v>503</v>
      </c>
      <c r="Z1154" s="106" t="s">
        <v>12</v>
      </c>
      <c r="AA1154" s="109"/>
    </row>
    <row r="1155" spans="2:27" x14ac:dyDescent="0.25">
      <c r="B1155" s="192"/>
      <c r="C1155" s="192" t="str">
        <f>TEXT(data[[#This Row],[Fecha de Envío
Cotización]],"MMMM")</f>
        <v>mayo</v>
      </c>
      <c r="D1155" s="192">
        <v>44344</v>
      </c>
      <c r="E1155" s="174" t="str">
        <f>IF(data[[#This Row],[Estatus de 
Cotización]]="PERDIDO","N/A","")</f>
        <v/>
      </c>
      <c r="F1155" s="192"/>
      <c r="G1155" s="109"/>
      <c r="H1155" s="192"/>
      <c r="I1155" s="86"/>
      <c r="J1155" s="87">
        <v>6045</v>
      </c>
      <c r="K1155" s="110" t="s">
        <v>31</v>
      </c>
      <c r="L1155" s="106"/>
      <c r="M1155" s="105" t="s">
        <v>1768</v>
      </c>
      <c r="N1155" s="106">
        <v>1</v>
      </c>
      <c r="O1155" s="107"/>
      <c r="P1155" s="27">
        <v>977.13</v>
      </c>
      <c r="Q1155" s="28">
        <f>data[[#This Row],[Costo Producto
Proveedor ($/Unid)]]*data[[#This Row],[Cantidad]]</f>
        <v>0</v>
      </c>
      <c r="R1155" s="28">
        <f>data[[#This Row],[Cantidad]]*data[[#This Row],[Precio de Venta Cliente ($/Unid)]]</f>
        <v>977.13</v>
      </c>
      <c r="S1155" s="29"/>
      <c r="T1155" s="109" t="s">
        <v>22</v>
      </c>
      <c r="U1155" s="109"/>
      <c r="V1155" s="30" t="s">
        <v>46</v>
      </c>
      <c r="W1155" s="32" t="s">
        <v>46</v>
      </c>
      <c r="X1155" s="106" t="s">
        <v>503</v>
      </c>
      <c r="Y1155" s="106" t="s">
        <v>503</v>
      </c>
      <c r="Z1155" s="106" t="s">
        <v>12</v>
      </c>
      <c r="AA1155" s="109"/>
    </row>
    <row r="1156" spans="2:27" x14ac:dyDescent="0.25">
      <c r="B1156" s="192"/>
      <c r="C1156" s="192" t="str">
        <f>TEXT(data[[#This Row],[Fecha de Envío
Cotización]],"MMMM")</f>
        <v>mayo</v>
      </c>
      <c r="D1156" s="192">
        <v>44344</v>
      </c>
      <c r="E1156" s="174" t="str">
        <f>IF(data[[#This Row],[Estatus de 
Cotización]]="PERDIDO","N/A","")</f>
        <v/>
      </c>
      <c r="F1156" s="192"/>
      <c r="G1156" s="109"/>
      <c r="H1156" s="192"/>
      <c r="I1156" s="86"/>
      <c r="J1156" s="87">
        <v>6046</v>
      </c>
      <c r="K1156" s="110" t="s">
        <v>31</v>
      </c>
      <c r="L1156" s="106"/>
      <c r="M1156" t="s">
        <v>1768</v>
      </c>
      <c r="N1156" s="106">
        <v>1</v>
      </c>
      <c r="O1156" s="107"/>
      <c r="P1156" s="27">
        <v>612.27</v>
      </c>
      <c r="Q1156" s="28">
        <f>data[[#This Row],[Costo Producto
Proveedor ($/Unid)]]*data[[#This Row],[Cantidad]]</f>
        <v>0</v>
      </c>
      <c r="R1156" s="28">
        <f>data[[#This Row],[Cantidad]]*data[[#This Row],[Precio de Venta Cliente ($/Unid)]]</f>
        <v>612.27</v>
      </c>
      <c r="S1156" s="29"/>
      <c r="T1156" s="109" t="s">
        <v>16</v>
      </c>
      <c r="U1156" s="109"/>
      <c r="V1156" s="30" t="s">
        <v>46</v>
      </c>
      <c r="W1156" s="32" t="s">
        <v>46</v>
      </c>
      <c r="X1156" s="106" t="s">
        <v>503</v>
      </c>
      <c r="Y1156" s="106" t="s">
        <v>503</v>
      </c>
      <c r="Z1156" s="106" t="s">
        <v>12</v>
      </c>
      <c r="AA1156" s="109"/>
    </row>
    <row r="1157" spans="2:27" x14ac:dyDescent="0.25">
      <c r="B1157" s="192"/>
      <c r="C1157" s="192" t="str">
        <f>TEXT(data[[#This Row],[Fecha de Envío
Cotización]],"MMMM")</f>
        <v>mayo</v>
      </c>
      <c r="D1157" s="192">
        <v>44344</v>
      </c>
      <c r="E1157" s="130">
        <v>44350</v>
      </c>
      <c r="F1157" s="192">
        <v>44350</v>
      </c>
      <c r="G1157" s="109">
        <v>1004</v>
      </c>
      <c r="H1157" s="192">
        <v>44350</v>
      </c>
      <c r="I1157" s="86"/>
      <c r="J1157" s="87">
        <v>6047</v>
      </c>
      <c r="K1157" s="110" t="s">
        <v>31</v>
      </c>
      <c r="L1157" s="106"/>
      <c r="M1157" t="s">
        <v>1772</v>
      </c>
      <c r="N1157" s="106">
        <v>10</v>
      </c>
      <c r="O1157" s="107"/>
      <c r="P1157" s="27">
        <v>11.76</v>
      </c>
      <c r="Q1157" s="28">
        <f>data[[#This Row],[Costo Producto
Proveedor ($/Unid)]]*data[[#This Row],[Cantidad]]</f>
        <v>0</v>
      </c>
      <c r="R1157" s="28">
        <f>data[[#This Row],[Cantidad]]*data[[#This Row],[Precio de Venta Cliente ($/Unid)]]</f>
        <v>117.6</v>
      </c>
      <c r="S1157" s="29"/>
      <c r="T1157" s="109" t="s">
        <v>22</v>
      </c>
      <c r="U1157" s="109"/>
      <c r="V1157" s="30" t="s">
        <v>44</v>
      </c>
      <c r="W1157" s="32" t="s">
        <v>44</v>
      </c>
      <c r="X1157" s="106" t="s">
        <v>503</v>
      </c>
      <c r="Y1157" s="106" t="s">
        <v>503</v>
      </c>
      <c r="Z1157" s="106" t="s">
        <v>12</v>
      </c>
      <c r="AA1157" s="109"/>
    </row>
    <row r="1158" spans="2:27" x14ac:dyDescent="0.25">
      <c r="B1158" s="192"/>
      <c r="C1158" s="192" t="str">
        <f>TEXT(data[[#This Row],[Fecha de Envío
Cotización]],"MMMM")</f>
        <v>mayo</v>
      </c>
      <c r="D1158" s="192">
        <v>44344</v>
      </c>
      <c r="E1158" s="130">
        <v>44350</v>
      </c>
      <c r="F1158" s="192">
        <v>44350</v>
      </c>
      <c r="G1158" s="109">
        <v>1004</v>
      </c>
      <c r="H1158" s="192">
        <v>44350</v>
      </c>
      <c r="I1158" s="86"/>
      <c r="J1158" s="87">
        <v>6047</v>
      </c>
      <c r="K1158" s="110" t="s">
        <v>31</v>
      </c>
      <c r="L1158" s="106"/>
      <c r="M1158" t="s">
        <v>1773</v>
      </c>
      <c r="N1158" s="106">
        <v>10</v>
      </c>
      <c r="O1158" s="107"/>
      <c r="P1158" s="27">
        <v>2.76</v>
      </c>
      <c r="Q1158" s="28">
        <f>data[[#This Row],[Costo Producto
Proveedor ($/Unid)]]*data[[#This Row],[Cantidad]]</f>
        <v>0</v>
      </c>
      <c r="R1158" s="28">
        <f>data[[#This Row],[Cantidad]]*data[[#This Row],[Precio de Venta Cliente ($/Unid)]]</f>
        <v>27.599999999999998</v>
      </c>
      <c r="S1158" s="29"/>
      <c r="T1158" s="109" t="s">
        <v>22</v>
      </c>
      <c r="U1158" s="109"/>
      <c r="V1158" s="30" t="s">
        <v>44</v>
      </c>
      <c r="W1158" s="32" t="s">
        <v>44</v>
      </c>
      <c r="X1158" s="106" t="s">
        <v>503</v>
      </c>
      <c r="Y1158" s="106" t="s">
        <v>503</v>
      </c>
      <c r="Z1158" s="106" t="s">
        <v>12</v>
      </c>
      <c r="AA1158" s="109"/>
    </row>
    <row r="1159" spans="2:27" x14ac:dyDescent="0.25">
      <c r="B1159" s="192"/>
      <c r="C1159" s="192" t="str">
        <f>TEXT(data[[#This Row],[Fecha de Envío
Cotización]],"MMMM")</f>
        <v>mayo</v>
      </c>
      <c r="D1159" s="192">
        <v>44344</v>
      </c>
      <c r="E1159" s="130">
        <v>44350</v>
      </c>
      <c r="F1159" s="192">
        <v>44350</v>
      </c>
      <c r="G1159" s="109">
        <v>1004</v>
      </c>
      <c r="H1159" s="192">
        <v>44350</v>
      </c>
      <c r="I1159" s="86"/>
      <c r="J1159" s="87">
        <v>6047</v>
      </c>
      <c r="K1159" s="110" t="s">
        <v>31</v>
      </c>
      <c r="L1159" s="106"/>
      <c r="M1159" t="s">
        <v>1774</v>
      </c>
      <c r="N1159" s="106">
        <v>10</v>
      </c>
      <c r="O1159" s="107"/>
      <c r="P1159" s="27">
        <v>3.08</v>
      </c>
      <c r="Q1159" s="28">
        <f>data[[#This Row],[Costo Producto
Proveedor ($/Unid)]]*data[[#This Row],[Cantidad]]</f>
        <v>0</v>
      </c>
      <c r="R1159" s="28">
        <f>data[[#This Row],[Cantidad]]*data[[#This Row],[Precio de Venta Cliente ($/Unid)]]</f>
        <v>30.8</v>
      </c>
      <c r="S1159" s="29"/>
      <c r="T1159" s="109" t="s">
        <v>22</v>
      </c>
      <c r="U1159" s="109"/>
      <c r="V1159" s="30" t="s">
        <v>44</v>
      </c>
      <c r="W1159" s="32" t="s">
        <v>44</v>
      </c>
      <c r="X1159" s="106" t="s">
        <v>503</v>
      </c>
      <c r="Y1159" s="106" t="s">
        <v>503</v>
      </c>
      <c r="Z1159" s="106" t="s">
        <v>12</v>
      </c>
      <c r="AA1159" s="109"/>
    </row>
    <row r="1160" spans="2:27" x14ac:dyDescent="0.25">
      <c r="B1160" s="192"/>
      <c r="C1160" s="192" t="str">
        <f>TEXT(data[[#This Row],[Fecha de Envío
Cotización]],"MMMM")</f>
        <v>mayo</v>
      </c>
      <c r="D1160" s="192">
        <v>44344</v>
      </c>
      <c r="E1160" s="130">
        <v>44350</v>
      </c>
      <c r="F1160" s="192">
        <v>44350</v>
      </c>
      <c r="G1160" s="109">
        <v>1004</v>
      </c>
      <c r="H1160" s="192">
        <v>44350</v>
      </c>
      <c r="I1160" s="86"/>
      <c r="J1160" s="87">
        <v>6047</v>
      </c>
      <c r="K1160" s="110" t="s">
        <v>31</v>
      </c>
      <c r="L1160" s="106"/>
      <c r="M1160" t="s">
        <v>1775</v>
      </c>
      <c r="N1160" s="106">
        <v>10</v>
      </c>
      <c r="O1160" s="107"/>
      <c r="P1160" s="27">
        <v>3.95</v>
      </c>
      <c r="Q1160" s="28">
        <f>data[[#This Row],[Costo Producto
Proveedor ($/Unid)]]*data[[#This Row],[Cantidad]]</f>
        <v>0</v>
      </c>
      <c r="R1160" s="28">
        <f>data[[#This Row],[Cantidad]]*data[[#This Row],[Precio de Venta Cliente ($/Unid)]]</f>
        <v>39.5</v>
      </c>
      <c r="S1160" s="29"/>
      <c r="T1160" s="109" t="s">
        <v>22</v>
      </c>
      <c r="U1160" s="109"/>
      <c r="V1160" s="30" t="s">
        <v>44</v>
      </c>
      <c r="W1160" s="32" t="s">
        <v>44</v>
      </c>
      <c r="X1160" s="106" t="s">
        <v>503</v>
      </c>
      <c r="Y1160" s="106" t="s">
        <v>503</v>
      </c>
      <c r="Z1160" s="106" t="s">
        <v>12</v>
      </c>
      <c r="AA1160" s="109"/>
    </row>
    <row r="1161" spans="2:27" x14ac:dyDescent="0.25">
      <c r="B1161" s="192"/>
      <c r="C1161" s="192" t="str">
        <f>TEXT(data[[#This Row],[Fecha de Envío
Cotización]],"MMMM")</f>
        <v>mayo</v>
      </c>
      <c r="D1161" s="192">
        <v>44344</v>
      </c>
      <c r="E1161" s="130">
        <v>44350</v>
      </c>
      <c r="F1161" s="192">
        <v>44350</v>
      </c>
      <c r="G1161" s="109">
        <v>1004</v>
      </c>
      <c r="H1161" s="192">
        <v>44350</v>
      </c>
      <c r="I1161" s="86"/>
      <c r="J1161" s="87">
        <v>6047</v>
      </c>
      <c r="K1161" s="110" t="s">
        <v>31</v>
      </c>
      <c r="L1161" s="106"/>
      <c r="M1161" t="s">
        <v>1776</v>
      </c>
      <c r="N1161" s="106">
        <v>20</v>
      </c>
      <c r="O1161" s="107"/>
      <c r="P1161" s="27">
        <v>8.18</v>
      </c>
      <c r="Q1161" s="28">
        <f>data[[#This Row],[Costo Producto
Proveedor ($/Unid)]]*data[[#This Row],[Cantidad]]</f>
        <v>0</v>
      </c>
      <c r="R1161" s="28">
        <f>data[[#This Row],[Cantidad]]*data[[#This Row],[Precio de Venta Cliente ($/Unid)]]</f>
        <v>163.6</v>
      </c>
      <c r="S1161" s="29"/>
      <c r="T1161" s="109" t="s">
        <v>22</v>
      </c>
      <c r="U1161" s="109"/>
      <c r="V1161" s="30" t="s">
        <v>44</v>
      </c>
      <c r="W1161" s="32" t="s">
        <v>44</v>
      </c>
      <c r="X1161" s="106" t="s">
        <v>503</v>
      </c>
      <c r="Y1161" s="106" t="s">
        <v>503</v>
      </c>
      <c r="Z1161" s="106" t="s">
        <v>12</v>
      </c>
      <c r="AA1161" s="109"/>
    </row>
    <row r="1162" spans="2:27" x14ac:dyDescent="0.25">
      <c r="B1162" s="192"/>
      <c r="C1162" s="192" t="str">
        <f>TEXT(data[[#This Row],[Fecha de Envío
Cotización]],"MMMM")</f>
        <v>mayo</v>
      </c>
      <c r="D1162" s="192">
        <v>44344</v>
      </c>
      <c r="E1162" s="174" t="str">
        <f>IF(data[[#This Row],[Estatus de 
Cotización]]="PERDIDO","N/A","")</f>
        <v>N/A</v>
      </c>
      <c r="F1162" s="192"/>
      <c r="G1162" s="109"/>
      <c r="H1162" s="192"/>
      <c r="I1162" s="86"/>
      <c r="J1162" s="87">
        <v>6047</v>
      </c>
      <c r="K1162" s="110" t="s">
        <v>31</v>
      </c>
      <c r="L1162" s="106"/>
      <c r="M1162" t="s">
        <v>1777</v>
      </c>
      <c r="N1162" s="106">
        <v>20</v>
      </c>
      <c r="O1162" s="107"/>
      <c r="P1162" s="27">
        <v>8.58</v>
      </c>
      <c r="Q1162" s="28">
        <f>data[[#This Row],[Costo Producto
Proveedor ($/Unid)]]*data[[#This Row],[Cantidad]]</f>
        <v>0</v>
      </c>
      <c r="R1162" s="28">
        <f>data[[#This Row],[Cantidad]]*data[[#This Row],[Precio de Venta Cliente ($/Unid)]]</f>
        <v>171.6</v>
      </c>
      <c r="S1162" s="29"/>
      <c r="T1162" s="109" t="s">
        <v>22</v>
      </c>
      <c r="U1162" s="109"/>
      <c r="V1162" s="30" t="s">
        <v>42</v>
      </c>
      <c r="W1162" s="32" t="s">
        <v>42</v>
      </c>
      <c r="X1162" s="106" t="s">
        <v>503</v>
      </c>
      <c r="Y1162" s="106" t="s">
        <v>503</v>
      </c>
      <c r="Z1162" s="106" t="s">
        <v>12</v>
      </c>
      <c r="AA1162" s="109"/>
    </row>
    <row r="1163" spans="2:27" x14ac:dyDescent="0.25">
      <c r="B1163" s="192"/>
      <c r="C1163" s="192" t="str">
        <f>TEXT(data[[#This Row],[Fecha de Envío
Cotización]],"MMMM")</f>
        <v>mayo</v>
      </c>
      <c r="D1163" s="192">
        <v>44344</v>
      </c>
      <c r="E1163" s="174" t="str">
        <f>IF(data[[#This Row],[Estatus de 
Cotización]]="PERDIDO","N/A","")</f>
        <v>N/A</v>
      </c>
      <c r="F1163" s="192"/>
      <c r="G1163" s="109"/>
      <c r="H1163" s="192"/>
      <c r="I1163" s="86"/>
      <c r="J1163" s="87">
        <v>6047</v>
      </c>
      <c r="K1163" s="110" t="s">
        <v>31</v>
      </c>
      <c r="L1163" s="106"/>
      <c r="M1163" t="s">
        <v>1778</v>
      </c>
      <c r="N1163" s="106">
        <v>10</v>
      </c>
      <c r="O1163" s="107"/>
      <c r="P1163" s="27">
        <v>17.66</v>
      </c>
      <c r="Q1163" s="28">
        <f>data[[#This Row],[Costo Producto
Proveedor ($/Unid)]]*data[[#This Row],[Cantidad]]</f>
        <v>0</v>
      </c>
      <c r="R1163" s="28">
        <f>data[[#This Row],[Cantidad]]*data[[#This Row],[Precio de Venta Cliente ($/Unid)]]</f>
        <v>176.6</v>
      </c>
      <c r="S1163" s="29"/>
      <c r="T1163" s="109" t="s">
        <v>22</v>
      </c>
      <c r="U1163" s="109"/>
      <c r="V1163" s="30" t="s">
        <v>42</v>
      </c>
      <c r="W1163" s="32" t="s">
        <v>42</v>
      </c>
      <c r="X1163" s="106" t="s">
        <v>503</v>
      </c>
      <c r="Y1163" s="106" t="s">
        <v>503</v>
      </c>
      <c r="Z1163" s="106" t="s">
        <v>12</v>
      </c>
      <c r="AA1163" s="109"/>
    </row>
    <row r="1164" spans="2:27" x14ac:dyDescent="0.25">
      <c r="B1164" s="192"/>
      <c r="C1164" s="192" t="str">
        <f>TEXT(data[[#This Row],[Fecha de Envío
Cotización]],"MMMM")</f>
        <v>mayo</v>
      </c>
      <c r="D1164" s="192">
        <v>44344</v>
      </c>
      <c r="E1164" s="174" t="str">
        <f>IF(data[[#This Row],[Estatus de 
Cotización]]="PERDIDO","N/A","")</f>
        <v>N/A</v>
      </c>
      <c r="F1164" s="192"/>
      <c r="G1164" s="109"/>
      <c r="H1164" s="192"/>
      <c r="I1164" s="86"/>
      <c r="J1164" s="87">
        <v>6047</v>
      </c>
      <c r="K1164" s="110" t="s">
        <v>31</v>
      </c>
      <c r="L1164" s="106"/>
      <c r="M1164" t="s">
        <v>1779</v>
      </c>
      <c r="N1164" s="106">
        <v>10</v>
      </c>
      <c r="O1164" s="107"/>
      <c r="P1164" s="27">
        <v>33.92</v>
      </c>
      <c r="Q1164" s="28">
        <f>data[[#This Row],[Costo Producto
Proveedor ($/Unid)]]*data[[#This Row],[Cantidad]]</f>
        <v>0</v>
      </c>
      <c r="R1164" s="28">
        <f>data[[#This Row],[Cantidad]]*data[[#This Row],[Precio de Venta Cliente ($/Unid)]]</f>
        <v>339.20000000000005</v>
      </c>
      <c r="S1164" s="29"/>
      <c r="T1164" s="109" t="s">
        <v>22</v>
      </c>
      <c r="U1164" s="109"/>
      <c r="V1164" s="30" t="s">
        <v>42</v>
      </c>
      <c r="W1164" s="32" t="s">
        <v>42</v>
      </c>
      <c r="X1164" s="106" t="s">
        <v>503</v>
      </c>
      <c r="Y1164" s="106" t="s">
        <v>503</v>
      </c>
      <c r="Z1164" s="106" t="s">
        <v>12</v>
      </c>
      <c r="AA1164" s="109"/>
    </row>
    <row r="1165" spans="2:27" x14ac:dyDescent="0.25">
      <c r="B1165" s="192"/>
      <c r="C1165" s="192" t="str">
        <f>TEXT(data[[#This Row],[Fecha de Envío
Cotización]],"MMMM")</f>
        <v>mayo</v>
      </c>
      <c r="D1165" s="192">
        <v>44344</v>
      </c>
      <c r="E1165" s="130">
        <v>44350</v>
      </c>
      <c r="F1165" s="192">
        <v>44350</v>
      </c>
      <c r="G1165" s="109">
        <v>1004</v>
      </c>
      <c r="H1165" s="192">
        <v>44350</v>
      </c>
      <c r="I1165" s="86"/>
      <c r="J1165" s="87">
        <v>6047</v>
      </c>
      <c r="K1165" s="110" t="s">
        <v>31</v>
      </c>
      <c r="L1165" s="106"/>
      <c r="M1165" t="s">
        <v>1780</v>
      </c>
      <c r="N1165" s="106">
        <v>50</v>
      </c>
      <c r="O1165" s="107"/>
      <c r="P1165" s="27">
        <v>5.9</v>
      </c>
      <c r="Q1165" s="28">
        <f>data[[#This Row],[Costo Producto
Proveedor ($/Unid)]]*data[[#This Row],[Cantidad]]</f>
        <v>0</v>
      </c>
      <c r="R1165" s="28">
        <f>data[[#This Row],[Cantidad]]*data[[#This Row],[Precio de Venta Cliente ($/Unid)]]</f>
        <v>295</v>
      </c>
      <c r="S1165" s="29"/>
      <c r="T1165" s="109" t="s">
        <v>22</v>
      </c>
      <c r="U1165" s="109"/>
      <c r="V1165" s="30" t="s">
        <v>44</v>
      </c>
      <c r="W1165" s="32" t="s">
        <v>44</v>
      </c>
      <c r="X1165" s="106" t="s">
        <v>503</v>
      </c>
      <c r="Y1165" s="106" t="s">
        <v>503</v>
      </c>
      <c r="Z1165" s="106" t="s">
        <v>12</v>
      </c>
      <c r="AA1165" s="109"/>
    </row>
    <row r="1166" spans="2:27" x14ac:dyDescent="0.25">
      <c r="B1166" s="192"/>
      <c r="C1166" s="192" t="str">
        <f>TEXT(data[[#This Row],[Fecha de Envío
Cotización]],"MMMM")</f>
        <v>mayo</v>
      </c>
      <c r="D1166" s="192">
        <v>44344</v>
      </c>
      <c r="E1166" s="130">
        <v>44344</v>
      </c>
      <c r="F1166" s="192">
        <v>44344</v>
      </c>
      <c r="G1166" s="109"/>
      <c r="H1166" s="192">
        <v>44344</v>
      </c>
      <c r="I1166" s="86" t="s">
        <v>1922</v>
      </c>
      <c r="J1166" s="87">
        <v>6048</v>
      </c>
      <c r="K1166" s="110" t="s">
        <v>1417</v>
      </c>
      <c r="L1166" s="106"/>
      <c r="M1166" t="s">
        <v>1781</v>
      </c>
      <c r="N1166" s="106">
        <v>2</v>
      </c>
      <c r="O1166" s="107"/>
      <c r="P1166" s="27">
        <v>2.95</v>
      </c>
      <c r="Q1166" s="28">
        <f>data[[#This Row],[Costo Producto
Proveedor ($/Unid)]]*data[[#This Row],[Cantidad]]</f>
        <v>0</v>
      </c>
      <c r="R1166" s="28">
        <f>data[[#This Row],[Cantidad]]*data[[#This Row],[Precio de Venta Cliente ($/Unid)]]</f>
        <v>5.9</v>
      </c>
      <c r="S1166" s="29"/>
      <c r="T1166" s="109" t="s">
        <v>22</v>
      </c>
      <c r="U1166" s="109"/>
      <c r="V1166" s="30" t="s">
        <v>44</v>
      </c>
      <c r="W1166" s="32" t="s">
        <v>44</v>
      </c>
      <c r="X1166" s="106" t="s">
        <v>45</v>
      </c>
      <c r="Y1166" s="106" t="s">
        <v>47</v>
      </c>
      <c r="Z1166" s="106" t="s">
        <v>12</v>
      </c>
      <c r="AA1166" s="109"/>
    </row>
    <row r="1167" spans="2:27" x14ac:dyDescent="0.25">
      <c r="B1167" s="192"/>
      <c r="C1167" s="192" t="str">
        <f>TEXT(data[[#This Row],[Fecha de Envío
Cotización]],"MMMM")</f>
        <v>mayo</v>
      </c>
      <c r="D1167" s="192">
        <v>44347</v>
      </c>
      <c r="E1167" s="174" t="str">
        <f>IF(data[[#This Row],[Estatus de 
Cotización]]="PERDIDO","N/A","")</f>
        <v/>
      </c>
      <c r="F1167" s="192"/>
      <c r="G1167" s="109"/>
      <c r="H1167" s="192"/>
      <c r="I1167" s="86"/>
      <c r="J1167" s="87">
        <v>6048</v>
      </c>
      <c r="K1167" s="110" t="s">
        <v>31</v>
      </c>
      <c r="L1167" s="106"/>
      <c r="M1167" s="105" t="s">
        <v>1804</v>
      </c>
      <c r="N1167" s="106">
        <v>10</v>
      </c>
      <c r="O1167" s="107"/>
      <c r="P1167" s="27">
        <v>45.77</v>
      </c>
      <c r="Q1167" s="28">
        <f>data[[#This Row],[Costo Producto
Proveedor ($/Unid)]]*data[[#This Row],[Cantidad]]</f>
        <v>0</v>
      </c>
      <c r="R1167" s="28">
        <f>data[[#This Row],[Cantidad]]*data[[#This Row],[Precio de Venta Cliente ($/Unid)]]</f>
        <v>457.70000000000005</v>
      </c>
      <c r="S1167" s="29"/>
      <c r="T1167" s="109" t="s">
        <v>22</v>
      </c>
      <c r="U1167" s="109"/>
      <c r="V1167" s="30" t="s">
        <v>46</v>
      </c>
      <c r="W1167" s="32" t="s">
        <v>46</v>
      </c>
      <c r="X1167" s="106" t="s">
        <v>503</v>
      </c>
      <c r="Y1167" s="106" t="s">
        <v>503</v>
      </c>
      <c r="Z1167" s="106" t="s">
        <v>12</v>
      </c>
      <c r="AA1167" s="109"/>
    </row>
    <row r="1168" spans="2:27" x14ac:dyDescent="0.25">
      <c r="B1168" s="192"/>
      <c r="C1168" s="192" t="str">
        <f>TEXT(data[[#This Row],[Fecha de Envío
Cotización]],"MMMM")</f>
        <v>mayo</v>
      </c>
      <c r="D1168" s="192">
        <v>44347</v>
      </c>
      <c r="E1168" s="174" t="str">
        <f>IF(data[[#This Row],[Estatus de 
Cotización]]="PERDIDO","N/A","")</f>
        <v/>
      </c>
      <c r="F1168" s="192"/>
      <c r="G1168" s="109"/>
      <c r="H1168" s="192"/>
      <c r="I1168" s="86"/>
      <c r="J1168" s="87">
        <v>6048</v>
      </c>
      <c r="K1168" s="110" t="s">
        <v>31</v>
      </c>
      <c r="L1168" s="106"/>
      <c r="M1168" s="105" t="s">
        <v>1805</v>
      </c>
      <c r="N1168" s="106">
        <v>10</v>
      </c>
      <c r="O1168" s="107"/>
      <c r="P1168" s="27">
        <v>118.14</v>
      </c>
      <c r="Q1168" s="28">
        <f>data[[#This Row],[Costo Producto
Proveedor ($/Unid)]]*data[[#This Row],[Cantidad]]</f>
        <v>0</v>
      </c>
      <c r="R1168" s="28">
        <f>data[[#This Row],[Cantidad]]*data[[#This Row],[Precio de Venta Cliente ($/Unid)]]</f>
        <v>1181.4000000000001</v>
      </c>
      <c r="S1168" s="29"/>
      <c r="T1168" s="109" t="s">
        <v>22</v>
      </c>
      <c r="U1168" s="109"/>
      <c r="V1168" s="30" t="s">
        <v>46</v>
      </c>
      <c r="W1168" s="32" t="s">
        <v>46</v>
      </c>
      <c r="X1168" s="106" t="s">
        <v>503</v>
      </c>
      <c r="Y1168" s="106" t="s">
        <v>503</v>
      </c>
      <c r="Z1168" s="106" t="s">
        <v>12</v>
      </c>
      <c r="AA1168" s="109"/>
    </row>
    <row r="1169" spans="2:27" x14ac:dyDescent="0.25">
      <c r="B1169" s="192"/>
      <c r="C1169" s="192" t="str">
        <f>TEXT(data[[#This Row],[Fecha de Envío
Cotización]],"MMMM")</f>
        <v>mayo</v>
      </c>
      <c r="D1169" s="192">
        <v>44347</v>
      </c>
      <c r="E1169" s="174" t="str">
        <f>IF(data[[#This Row],[Estatus de 
Cotización]]="PERDIDO","N/A","")</f>
        <v/>
      </c>
      <c r="F1169" s="192"/>
      <c r="G1169" s="109"/>
      <c r="H1169" s="192"/>
      <c r="I1169" s="86"/>
      <c r="J1169" s="87">
        <v>6049</v>
      </c>
      <c r="K1169" s="110" t="s">
        <v>31</v>
      </c>
      <c r="L1169" s="106"/>
      <c r="M1169" s="105" t="s">
        <v>1816</v>
      </c>
      <c r="N1169" s="106">
        <v>2</v>
      </c>
      <c r="O1169" s="107"/>
      <c r="P1169" s="27">
        <v>17.82</v>
      </c>
      <c r="Q1169" s="28">
        <f>data[[#This Row],[Costo Producto
Proveedor ($/Unid)]]*data[[#This Row],[Cantidad]]</f>
        <v>0</v>
      </c>
      <c r="R1169" s="28">
        <f>data[[#This Row],[Cantidad]]*data[[#This Row],[Precio de Venta Cliente ($/Unid)]]</f>
        <v>35.64</v>
      </c>
      <c r="S1169" s="29"/>
      <c r="T1169" s="109" t="s">
        <v>22</v>
      </c>
      <c r="U1169" s="109"/>
      <c r="V1169" s="30" t="s">
        <v>46</v>
      </c>
      <c r="W1169" s="32" t="s">
        <v>46</v>
      </c>
      <c r="X1169" s="106" t="s">
        <v>503</v>
      </c>
      <c r="Y1169" s="106" t="s">
        <v>503</v>
      </c>
      <c r="Z1169" s="106" t="s">
        <v>12</v>
      </c>
      <c r="AA1169" s="109"/>
    </row>
    <row r="1170" spans="2:27" x14ac:dyDescent="0.25">
      <c r="B1170" s="192"/>
      <c r="C1170" s="192" t="str">
        <f>TEXT(data[[#This Row],[Fecha de Envío
Cotización]],"MMMM")</f>
        <v>mayo</v>
      </c>
      <c r="D1170" s="192">
        <v>44347</v>
      </c>
      <c r="E1170" s="174" t="str">
        <f>IF(data[[#This Row],[Estatus de 
Cotización]]="PERDIDO","N/A","")</f>
        <v/>
      </c>
      <c r="F1170" s="192"/>
      <c r="G1170" s="109"/>
      <c r="H1170" s="192"/>
      <c r="I1170" s="86"/>
      <c r="J1170" s="87">
        <v>6049</v>
      </c>
      <c r="K1170" s="110" t="s">
        <v>31</v>
      </c>
      <c r="L1170" s="106"/>
      <c r="M1170" s="105" t="s">
        <v>1817</v>
      </c>
      <c r="N1170" s="106">
        <v>2</v>
      </c>
      <c r="O1170" s="107"/>
      <c r="P1170" s="27">
        <v>17.82</v>
      </c>
      <c r="Q1170" s="28">
        <f>data[[#This Row],[Costo Producto
Proveedor ($/Unid)]]*data[[#This Row],[Cantidad]]</f>
        <v>0</v>
      </c>
      <c r="R1170" s="28">
        <f>data[[#This Row],[Cantidad]]*data[[#This Row],[Precio de Venta Cliente ($/Unid)]]</f>
        <v>35.64</v>
      </c>
      <c r="S1170" s="29"/>
      <c r="T1170" s="109" t="s">
        <v>22</v>
      </c>
      <c r="U1170" s="109"/>
      <c r="V1170" s="30" t="s">
        <v>46</v>
      </c>
      <c r="W1170" s="32" t="s">
        <v>46</v>
      </c>
      <c r="X1170" s="106" t="s">
        <v>503</v>
      </c>
      <c r="Y1170" s="106" t="s">
        <v>503</v>
      </c>
      <c r="Z1170" s="106" t="s">
        <v>12</v>
      </c>
      <c r="AA1170" s="109"/>
    </row>
    <row r="1171" spans="2:27" x14ac:dyDescent="0.25">
      <c r="B1171" s="192"/>
      <c r="C1171" s="192" t="str">
        <f>TEXT(data[[#This Row],[Fecha de Envío
Cotización]],"MMMM")</f>
        <v>mayo</v>
      </c>
      <c r="D1171" s="192">
        <v>44347</v>
      </c>
      <c r="E1171" s="174" t="str">
        <f>IF(data[[#This Row],[Estatus de 
Cotización]]="PERDIDO","N/A","")</f>
        <v/>
      </c>
      <c r="F1171" s="192"/>
      <c r="G1171" s="109"/>
      <c r="H1171" s="192"/>
      <c r="I1171" s="86"/>
      <c r="J1171" s="87">
        <v>6049</v>
      </c>
      <c r="K1171" s="110" t="s">
        <v>31</v>
      </c>
      <c r="L1171" s="106"/>
      <c r="M1171" s="105" t="s">
        <v>1818</v>
      </c>
      <c r="N1171" s="106">
        <v>2</v>
      </c>
      <c r="O1171" s="107"/>
      <c r="P1171" s="27">
        <v>77.22</v>
      </c>
      <c r="Q1171" s="28">
        <f>data[[#This Row],[Costo Producto
Proveedor ($/Unid)]]*data[[#This Row],[Cantidad]]</f>
        <v>0</v>
      </c>
      <c r="R1171" s="28">
        <f>data[[#This Row],[Cantidad]]*data[[#This Row],[Precio de Venta Cliente ($/Unid)]]</f>
        <v>154.44</v>
      </c>
      <c r="S1171" s="29"/>
      <c r="T1171" s="109" t="s">
        <v>22</v>
      </c>
      <c r="U1171" s="109"/>
      <c r="V1171" s="30" t="s">
        <v>46</v>
      </c>
      <c r="W1171" s="32" t="s">
        <v>46</v>
      </c>
      <c r="X1171" s="106" t="s">
        <v>503</v>
      </c>
      <c r="Y1171" s="106" t="s">
        <v>503</v>
      </c>
      <c r="Z1171" s="106" t="s">
        <v>12</v>
      </c>
      <c r="AA1171" s="109"/>
    </row>
    <row r="1172" spans="2:27" x14ac:dyDescent="0.25">
      <c r="B1172" s="192"/>
      <c r="C1172" s="192" t="str">
        <f>TEXT(data[[#This Row],[Fecha de Envío
Cotización]],"MMMM")</f>
        <v>mayo</v>
      </c>
      <c r="D1172" s="192">
        <v>44347</v>
      </c>
      <c r="E1172" s="174" t="str">
        <f>IF(data[[#This Row],[Estatus de 
Cotización]]="PERDIDO","N/A","")</f>
        <v/>
      </c>
      <c r="F1172" s="192"/>
      <c r="G1172" s="109"/>
      <c r="H1172" s="192"/>
      <c r="I1172" s="86"/>
      <c r="J1172" s="87">
        <v>6049</v>
      </c>
      <c r="K1172" s="110" t="s">
        <v>31</v>
      </c>
      <c r="L1172" s="106"/>
      <c r="M1172" s="105" t="s">
        <v>1819</v>
      </c>
      <c r="N1172" s="106">
        <v>2</v>
      </c>
      <c r="O1172" s="107"/>
      <c r="P1172" s="27">
        <v>48.18</v>
      </c>
      <c r="Q1172" s="28">
        <f>data[[#This Row],[Costo Producto
Proveedor ($/Unid)]]*data[[#This Row],[Cantidad]]</f>
        <v>0</v>
      </c>
      <c r="R1172" s="28">
        <f>data[[#This Row],[Cantidad]]*data[[#This Row],[Precio de Venta Cliente ($/Unid)]]</f>
        <v>96.36</v>
      </c>
      <c r="S1172" s="29"/>
      <c r="T1172" s="109" t="s">
        <v>22</v>
      </c>
      <c r="U1172" s="109"/>
      <c r="V1172" s="30" t="s">
        <v>46</v>
      </c>
      <c r="W1172" s="32" t="s">
        <v>46</v>
      </c>
      <c r="X1172" s="106" t="s">
        <v>503</v>
      </c>
      <c r="Y1172" s="106" t="s">
        <v>503</v>
      </c>
      <c r="Z1172" s="106" t="s">
        <v>12</v>
      </c>
      <c r="AA1172" s="109"/>
    </row>
    <row r="1173" spans="2:27" x14ac:dyDescent="0.25">
      <c r="B1173" s="192"/>
      <c r="C1173" s="192" t="str">
        <f>TEXT(data[[#This Row],[Fecha de Envío
Cotización]],"MMMM")</f>
        <v>mayo</v>
      </c>
      <c r="D1173" s="192">
        <v>44347</v>
      </c>
      <c r="E1173" s="174" t="str">
        <f>IF(data[[#This Row],[Estatus de 
Cotización]]="PERDIDO","N/A","")</f>
        <v/>
      </c>
      <c r="F1173" s="192"/>
      <c r="G1173" s="109"/>
      <c r="H1173" s="192"/>
      <c r="I1173" s="86"/>
      <c r="J1173" s="87">
        <v>6049</v>
      </c>
      <c r="K1173" s="110" t="s">
        <v>31</v>
      </c>
      <c r="L1173" s="106"/>
      <c r="M1173" s="105" t="s">
        <v>1820</v>
      </c>
      <c r="N1173" s="106">
        <v>2</v>
      </c>
      <c r="O1173" s="107"/>
      <c r="P1173" s="27">
        <v>122.76</v>
      </c>
      <c r="Q1173" s="28">
        <f>data[[#This Row],[Costo Producto
Proveedor ($/Unid)]]*data[[#This Row],[Cantidad]]</f>
        <v>0</v>
      </c>
      <c r="R1173" s="28">
        <f>data[[#This Row],[Cantidad]]*data[[#This Row],[Precio de Venta Cliente ($/Unid)]]</f>
        <v>245.52</v>
      </c>
      <c r="S1173" s="29"/>
      <c r="T1173" s="109" t="s">
        <v>22</v>
      </c>
      <c r="U1173" s="109"/>
      <c r="V1173" s="30" t="s">
        <v>46</v>
      </c>
      <c r="W1173" s="32" t="s">
        <v>46</v>
      </c>
      <c r="X1173" s="106" t="s">
        <v>503</v>
      </c>
      <c r="Y1173" s="106" t="s">
        <v>503</v>
      </c>
      <c r="Z1173" s="106" t="s">
        <v>12</v>
      </c>
      <c r="AA1173" s="109"/>
    </row>
    <row r="1174" spans="2:27" x14ac:dyDescent="0.25">
      <c r="B1174" s="192"/>
      <c r="C1174" s="192" t="str">
        <f>TEXT(data[[#This Row],[Fecha de Envío
Cotización]],"MMMM")</f>
        <v>junio</v>
      </c>
      <c r="D1174" s="192">
        <v>44350</v>
      </c>
      <c r="E1174" s="130" t="str">
        <f>IF(data[[#This Row],[Estatus de 
Cotización]]="PERDIDO","N/A","")</f>
        <v>N/A</v>
      </c>
      <c r="F1174" s="192"/>
      <c r="G1174" s="109"/>
      <c r="H1174" s="192"/>
      <c r="I1174" s="86"/>
      <c r="J1174" s="87">
        <v>6050</v>
      </c>
      <c r="K1174" s="110" t="s">
        <v>31</v>
      </c>
      <c r="L1174" s="106"/>
      <c r="M1174" s="105" t="s">
        <v>1904</v>
      </c>
      <c r="N1174" s="106">
        <v>10</v>
      </c>
      <c r="O1174" s="107"/>
      <c r="P1174" s="27">
        <v>30.36</v>
      </c>
      <c r="Q1174" s="28">
        <f>data[[#This Row],[Costo Producto
Proveedor ($/Unid)]]*data[[#This Row],[Cantidad]]</f>
        <v>0</v>
      </c>
      <c r="R1174" s="28">
        <f>data[[#This Row],[Cantidad]]*data[[#This Row],[Precio de Venta Cliente ($/Unid)]]</f>
        <v>303.60000000000002</v>
      </c>
      <c r="S1174" s="29"/>
      <c r="T1174" s="109" t="s">
        <v>22</v>
      </c>
      <c r="U1174" s="109"/>
      <c r="V1174" s="30" t="s">
        <v>42</v>
      </c>
      <c r="W1174" s="32" t="s">
        <v>42</v>
      </c>
      <c r="X1174" s="106" t="s">
        <v>503</v>
      </c>
      <c r="Y1174" s="106" t="s">
        <v>503</v>
      </c>
      <c r="Z1174" s="106" t="s">
        <v>12</v>
      </c>
      <c r="AA1174" s="109"/>
    </row>
    <row r="1175" spans="2:27" x14ac:dyDescent="0.25">
      <c r="B1175" s="192"/>
      <c r="C1175" s="192" t="str">
        <f>TEXT(data[[#This Row],[Fecha de Envío
Cotización]],"MMMM")</f>
        <v>junio</v>
      </c>
      <c r="D1175" s="192">
        <v>44350</v>
      </c>
      <c r="E1175" s="130" t="str">
        <f>IF(data[[#This Row],[Estatus de 
Cotización]]="PERDIDO","N/A","")</f>
        <v>N/A</v>
      </c>
      <c r="F1175" s="192"/>
      <c r="G1175" s="109"/>
      <c r="H1175" s="192"/>
      <c r="I1175" s="86"/>
      <c r="J1175" s="87">
        <v>6050</v>
      </c>
      <c r="K1175" s="110" t="s">
        <v>31</v>
      </c>
      <c r="L1175" s="106"/>
      <c r="M1175" s="105" t="s">
        <v>1905</v>
      </c>
      <c r="N1175" s="106">
        <v>10</v>
      </c>
      <c r="O1175" s="107"/>
      <c r="P1175" s="27">
        <v>15.84</v>
      </c>
      <c r="Q1175" s="28">
        <f>data[[#This Row],[Costo Producto
Proveedor ($/Unid)]]*data[[#This Row],[Cantidad]]</f>
        <v>0</v>
      </c>
      <c r="R1175" s="28">
        <f>data[[#This Row],[Cantidad]]*data[[#This Row],[Precio de Venta Cliente ($/Unid)]]</f>
        <v>158.4</v>
      </c>
      <c r="S1175" s="29"/>
      <c r="T1175" s="109" t="s">
        <v>22</v>
      </c>
      <c r="U1175" s="109"/>
      <c r="V1175" s="30" t="s">
        <v>42</v>
      </c>
      <c r="W1175" s="32" t="s">
        <v>42</v>
      </c>
      <c r="X1175" s="106" t="s">
        <v>503</v>
      </c>
      <c r="Y1175" s="106" t="s">
        <v>503</v>
      </c>
      <c r="Z1175" s="106" t="s">
        <v>12</v>
      </c>
      <c r="AA1175" s="109"/>
    </row>
    <row r="1176" spans="2:27" x14ac:dyDescent="0.25">
      <c r="B1176" s="192"/>
      <c r="C1176" s="192" t="str">
        <f>TEXT(data[[#This Row],[Fecha de Envío
Cotización]],"MMMM")</f>
        <v>junio</v>
      </c>
      <c r="D1176" s="192">
        <v>44350</v>
      </c>
      <c r="E1176" s="130" t="str">
        <f>IF(data[[#This Row],[Estatus de 
Cotización]]="PERDIDO","N/A","")</f>
        <v>N/A</v>
      </c>
      <c r="F1176" s="192"/>
      <c r="G1176" s="109"/>
      <c r="H1176" s="192"/>
      <c r="I1176" s="86"/>
      <c r="J1176" s="87">
        <v>6050</v>
      </c>
      <c r="K1176" s="110" t="s">
        <v>31</v>
      </c>
      <c r="L1176" s="106"/>
      <c r="M1176" t="s">
        <v>1906</v>
      </c>
      <c r="N1176" s="106">
        <v>10</v>
      </c>
      <c r="O1176" s="107"/>
      <c r="P1176" s="27">
        <v>59.4</v>
      </c>
      <c r="Q1176" s="28">
        <f>data[[#This Row],[Costo Producto
Proveedor ($/Unid)]]*data[[#This Row],[Cantidad]]</f>
        <v>0</v>
      </c>
      <c r="R1176" s="28">
        <f>data[[#This Row],[Cantidad]]*data[[#This Row],[Precio de Venta Cliente ($/Unid)]]</f>
        <v>594</v>
      </c>
      <c r="S1176" s="29"/>
      <c r="T1176" s="109" t="s">
        <v>22</v>
      </c>
      <c r="U1176" s="109"/>
      <c r="V1176" s="30" t="s">
        <v>42</v>
      </c>
      <c r="W1176" s="32" t="s">
        <v>42</v>
      </c>
      <c r="X1176" s="106" t="s">
        <v>503</v>
      </c>
      <c r="Y1176" s="106" t="s">
        <v>503</v>
      </c>
      <c r="Z1176" s="106" t="s">
        <v>12</v>
      </c>
      <c r="AA1176" s="109"/>
    </row>
    <row r="1177" spans="2:27" x14ac:dyDescent="0.25">
      <c r="B1177" s="192"/>
      <c r="C1177" s="192" t="str">
        <f>TEXT(data[[#This Row],[Fecha de Envío
Cotización]],"MMMM")</f>
        <v>junio</v>
      </c>
      <c r="D1177" s="192">
        <v>44350</v>
      </c>
      <c r="E1177" s="174" t="str">
        <f>IF(data[[#This Row],[Estatus de 
Cotización]]="PERDIDO","N/A","")</f>
        <v/>
      </c>
      <c r="F1177" s="192"/>
      <c r="G1177" s="109"/>
      <c r="H1177" s="192"/>
      <c r="I1177" s="86">
        <v>119753</v>
      </c>
      <c r="J1177" s="87">
        <v>702</v>
      </c>
      <c r="K1177" s="110" t="s">
        <v>130</v>
      </c>
      <c r="L1177" s="106"/>
      <c r="M1177" t="s">
        <v>1907</v>
      </c>
      <c r="N1177" s="106">
        <v>2</v>
      </c>
      <c r="O1177" s="107"/>
      <c r="P1177" s="27">
        <v>212.36</v>
      </c>
      <c r="Q1177" s="28">
        <f>data[[#This Row],[Costo Producto
Proveedor ($/Unid)]]*data[[#This Row],[Cantidad]]</f>
        <v>0</v>
      </c>
      <c r="R1177" s="28">
        <f>data[[#This Row],[Cantidad]]*data[[#This Row],[Precio de Venta Cliente ($/Unid)]]</f>
        <v>424.72</v>
      </c>
      <c r="S1177" s="29"/>
      <c r="T1177" s="109" t="s">
        <v>36</v>
      </c>
      <c r="U1177" s="109"/>
      <c r="V1177" s="30" t="s">
        <v>46</v>
      </c>
      <c r="W1177" s="32" t="s">
        <v>46</v>
      </c>
      <c r="X1177" s="106" t="s">
        <v>503</v>
      </c>
      <c r="Y1177" s="106" t="s">
        <v>503</v>
      </c>
      <c r="Z1177" s="106" t="s">
        <v>12</v>
      </c>
      <c r="AA1177" s="109"/>
    </row>
    <row r="1178" spans="2:27" x14ac:dyDescent="0.25">
      <c r="B1178" s="192"/>
      <c r="C1178" s="192" t="str">
        <f>TEXT(data[[#This Row],[Fecha de Envío
Cotización]],"MMMM")</f>
        <v>junio</v>
      </c>
      <c r="D1178" s="192">
        <v>44350</v>
      </c>
      <c r="E1178" s="174" t="str">
        <f>IF(data[[#This Row],[Estatus de 
Cotización]]="PERDIDO","N/A","")</f>
        <v/>
      </c>
      <c r="F1178" s="192"/>
      <c r="G1178" s="109"/>
      <c r="H1178" s="192"/>
      <c r="I1178" s="86">
        <v>11137</v>
      </c>
      <c r="J1178" s="87">
        <v>702</v>
      </c>
      <c r="K1178" s="110" t="s">
        <v>130</v>
      </c>
      <c r="L1178" s="106"/>
      <c r="M1178" t="s">
        <v>1908</v>
      </c>
      <c r="N1178" s="106">
        <v>8</v>
      </c>
      <c r="O1178" s="107"/>
      <c r="P1178" s="27">
        <v>9.36</v>
      </c>
      <c r="Q1178" s="28">
        <f>data[[#This Row],[Costo Producto
Proveedor ($/Unid)]]*data[[#This Row],[Cantidad]]</f>
        <v>0</v>
      </c>
      <c r="R1178" s="28">
        <f>data[[#This Row],[Cantidad]]*data[[#This Row],[Precio de Venta Cliente ($/Unid)]]</f>
        <v>74.88</v>
      </c>
      <c r="S1178" s="29"/>
      <c r="T1178" s="109" t="s">
        <v>36</v>
      </c>
      <c r="U1178" s="109"/>
      <c r="V1178" s="30" t="s">
        <v>46</v>
      </c>
      <c r="W1178" s="32" t="s">
        <v>46</v>
      </c>
      <c r="X1178" s="106" t="s">
        <v>503</v>
      </c>
      <c r="Y1178" s="106" t="s">
        <v>503</v>
      </c>
      <c r="Z1178" s="106" t="s">
        <v>12</v>
      </c>
      <c r="AA1178" s="109"/>
    </row>
    <row r="1179" spans="2:27" x14ac:dyDescent="0.25">
      <c r="B1179" s="192"/>
      <c r="C1179" s="192" t="str">
        <f>TEXT(data[[#This Row],[Fecha de Envío
Cotización]],"MMMM")</f>
        <v>junio</v>
      </c>
      <c r="D1179" s="192">
        <v>44354</v>
      </c>
      <c r="E1179" s="174" t="str">
        <f>IF(data[[#This Row],[Estatus de 
Cotización]]="PERDIDO","N/A","")</f>
        <v/>
      </c>
      <c r="F1179" s="192"/>
      <c r="G1179" s="109"/>
      <c r="H1179" s="192"/>
      <c r="I1179" s="86" t="s">
        <v>1931</v>
      </c>
      <c r="J1179" s="87">
        <v>720</v>
      </c>
      <c r="K1179" s="110" t="s">
        <v>31</v>
      </c>
      <c r="L1179" s="106"/>
      <c r="M1179" t="s">
        <v>1947</v>
      </c>
      <c r="N1179" s="106">
        <v>8</v>
      </c>
      <c r="O1179" s="107"/>
      <c r="P1179" s="27">
        <v>476.69</v>
      </c>
      <c r="Q1179" s="28">
        <f>data[[#This Row],[Costo Producto
Proveedor ($/Unid)]]*data[[#This Row],[Cantidad]]</f>
        <v>0</v>
      </c>
      <c r="R1179" s="28">
        <f>data[[#This Row],[Cantidad]]*data[[#This Row],[Precio de Venta Cliente ($/Unid)]]</f>
        <v>3813.52</v>
      </c>
      <c r="S1179" s="29"/>
      <c r="T1179" s="109" t="s">
        <v>119</v>
      </c>
      <c r="U1179" s="109"/>
      <c r="V1179" s="30" t="s">
        <v>46</v>
      </c>
      <c r="W1179" s="32" t="s">
        <v>46</v>
      </c>
      <c r="X1179" s="106" t="s">
        <v>503</v>
      </c>
      <c r="Y1179" s="106" t="s">
        <v>503</v>
      </c>
      <c r="Z1179" s="106" t="s">
        <v>12</v>
      </c>
      <c r="AA1179" s="109"/>
    </row>
    <row r="1180" spans="2:27" x14ac:dyDescent="0.25">
      <c r="B1180" s="192"/>
      <c r="C1180" s="192" t="str">
        <f>TEXT(data[[#This Row],[Fecha de Envío
Cotización]],"MMMM")</f>
        <v>junio</v>
      </c>
      <c r="D1180" s="192">
        <v>44354</v>
      </c>
      <c r="E1180" s="174" t="str">
        <f>IF(data[[#This Row],[Estatus de 
Cotización]]="PERDIDO","N/A","")</f>
        <v/>
      </c>
      <c r="F1180" s="192"/>
      <c r="G1180" s="109"/>
      <c r="H1180" s="192"/>
      <c r="I1180" s="86" t="s">
        <v>1932</v>
      </c>
      <c r="J1180" s="87">
        <v>720</v>
      </c>
      <c r="K1180" s="110" t="s">
        <v>31</v>
      </c>
      <c r="L1180" s="106"/>
      <c r="M1180" t="s">
        <v>1948</v>
      </c>
      <c r="N1180" s="106">
        <v>14</v>
      </c>
      <c r="O1180" s="107"/>
      <c r="P1180" s="27">
        <v>52.26</v>
      </c>
      <c r="Q1180" s="28">
        <f>data[[#This Row],[Costo Producto
Proveedor ($/Unid)]]*data[[#This Row],[Cantidad]]</f>
        <v>0</v>
      </c>
      <c r="R1180" s="28">
        <f>data[[#This Row],[Cantidad]]*data[[#This Row],[Precio de Venta Cliente ($/Unid)]]</f>
        <v>731.64</v>
      </c>
      <c r="S1180" s="29"/>
      <c r="T1180" s="109" t="s">
        <v>119</v>
      </c>
      <c r="U1180" s="109"/>
      <c r="V1180" s="30" t="s">
        <v>46</v>
      </c>
      <c r="W1180" s="32" t="s">
        <v>46</v>
      </c>
      <c r="X1180" s="106" t="s">
        <v>503</v>
      </c>
      <c r="Y1180" s="106" t="s">
        <v>503</v>
      </c>
      <c r="Z1180" s="106" t="s">
        <v>12</v>
      </c>
      <c r="AA1180" s="109"/>
    </row>
    <row r="1181" spans="2:27" x14ac:dyDescent="0.25">
      <c r="B1181" s="192"/>
      <c r="C1181" s="192" t="str">
        <f>TEXT(data[[#This Row],[Fecha de Envío
Cotización]],"MMMM")</f>
        <v>junio</v>
      </c>
      <c r="D1181" s="192">
        <v>44354</v>
      </c>
      <c r="E1181" s="174" t="str">
        <f>IF(data[[#This Row],[Estatus de 
Cotización]]="PERDIDO","N/A","")</f>
        <v/>
      </c>
      <c r="F1181" s="192"/>
      <c r="G1181" s="109"/>
      <c r="H1181" s="192"/>
      <c r="I1181" s="86" t="s">
        <v>1933</v>
      </c>
      <c r="J1181" s="87">
        <v>720</v>
      </c>
      <c r="K1181" s="110" t="s">
        <v>31</v>
      </c>
      <c r="L1181" s="106"/>
      <c r="M1181" t="s">
        <v>1949</v>
      </c>
      <c r="N1181" s="106">
        <v>4</v>
      </c>
      <c r="O1181" s="107"/>
      <c r="P1181" s="27">
        <v>57.31</v>
      </c>
      <c r="Q1181" s="28">
        <f>data[[#This Row],[Costo Producto
Proveedor ($/Unid)]]*data[[#This Row],[Cantidad]]</f>
        <v>0</v>
      </c>
      <c r="R1181" s="28">
        <f>data[[#This Row],[Cantidad]]*data[[#This Row],[Precio de Venta Cliente ($/Unid)]]</f>
        <v>229.24</v>
      </c>
      <c r="S1181" s="29"/>
      <c r="T1181" s="109" t="s">
        <v>119</v>
      </c>
      <c r="U1181" s="109"/>
      <c r="V1181" s="30" t="s">
        <v>46</v>
      </c>
      <c r="W1181" s="32" t="s">
        <v>46</v>
      </c>
      <c r="X1181" s="106" t="s">
        <v>503</v>
      </c>
      <c r="Y1181" s="106" t="s">
        <v>503</v>
      </c>
      <c r="Z1181" s="106" t="s">
        <v>12</v>
      </c>
      <c r="AA1181" s="109"/>
    </row>
    <row r="1182" spans="2:27" x14ac:dyDescent="0.25">
      <c r="B1182" s="192"/>
      <c r="C1182" s="192" t="str">
        <f>TEXT(data[[#This Row],[Fecha de Envío
Cotización]],"MMMM")</f>
        <v>junio</v>
      </c>
      <c r="D1182" s="192">
        <v>44354</v>
      </c>
      <c r="E1182" s="174" t="str">
        <f>IF(data[[#This Row],[Estatus de 
Cotización]]="PERDIDO","N/A","")</f>
        <v/>
      </c>
      <c r="F1182" s="192"/>
      <c r="G1182" s="109"/>
      <c r="H1182" s="192"/>
      <c r="I1182" s="86" t="s">
        <v>1934</v>
      </c>
      <c r="J1182" s="87">
        <v>720</v>
      </c>
      <c r="K1182" s="110" t="s">
        <v>31</v>
      </c>
      <c r="L1182" s="106"/>
      <c r="M1182" t="s">
        <v>1950</v>
      </c>
      <c r="N1182" s="106">
        <v>3</v>
      </c>
      <c r="O1182" s="107"/>
      <c r="P1182" s="27">
        <v>64.459999999999994</v>
      </c>
      <c r="Q1182" s="28">
        <f>data[[#This Row],[Costo Producto
Proveedor ($/Unid)]]*data[[#This Row],[Cantidad]]</f>
        <v>0</v>
      </c>
      <c r="R1182" s="28">
        <f>data[[#This Row],[Cantidad]]*data[[#This Row],[Precio de Venta Cliente ($/Unid)]]</f>
        <v>193.38</v>
      </c>
      <c r="S1182" s="29"/>
      <c r="T1182" s="109" t="s">
        <v>119</v>
      </c>
      <c r="U1182" s="109"/>
      <c r="V1182" s="30" t="s">
        <v>46</v>
      </c>
      <c r="W1182" s="32" t="s">
        <v>46</v>
      </c>
      <c r="X1182" s="106" t="s">
        <v>503</v>
      </c>
      <c r="Y1182" s="106" t="s">
        <v>503</v>
      </c>
      <c r="Z1182" s="106" t="s">
        <v>12</v>
      </c>
      <c r="AA1182" s="109"/>
    </row>
    <row r="1183" spans="2:27" x14ac:dyDescent="0.25">
      <c r="B1183" s="192"/>
      <c r="C1183" s="192" t="str">
        <f>TEXT(data[[#This Row],[Fecha de Envío
Cotización]],"MMMM")</f>
        <v>junio</v>
      </c>
      <c r="D1183" s="192">
        <v>44354</v>
      </c>
      <c r="E1183" s="174" t="str">
        <f>IF(data[[#This Row],[Estatus de 
Cotización]]="PERDIDO","N/A","")</f>
        <v/>
      </c>
      <c r="F1183" s="192"/>
      <c r="G1183" s="109"/>
      <c r="H1183" s="192"/>
      <c r="I1183" s="86" t="s">
        <v>1935</v>
      </c>
      <c r="J1183" s="87">
        <v>720</v>
      </c>
      <c r="K1183" s="110" t="s">
        <v>31</v>
      </c>
      <c r="L1183" s="106"/>
      <c r="M1183" t="s">
        <v>1951</v>
      </c>
      <c r="N1183" s="106">
        <v>10</v>
      </c>
      <c r="O1183" s="107"/>
      <c r="P1183" s="27">
        <v>51.91</v>
      </c>
      <c r="Q1183" s="28">
        <f>data[[#This Row],[Costo Producto
Proveedor ($/Unid)]]*data[[#This Row],[Cantidad]]</f>
        <v>0</v>
      </c>
      <c r="R1183" s="28">
        <f>data[[#This Row],[Cantidad]]*data[[#This Row],[Precio de Venta Cliente ($/Unid)]]</f>
        <v>519.09999999999991</v>
      </c>
      <c r="S1183" s="29"/>
      <c r="T1183" s="109" t="s">
        <v>119</v>
      </c>
      <c r="U1183" s="109"/>
      <c r="V1183" s="30" t="s">
        <v>46</v>
      </c>
      <c r="W1183" s="32" t="s">
        <v>46</v>
      </c>
      <c r="X1183" s="106" t="s">
        <v>503</v>
      </c>
      <c r="Y1183" s="106" t="s">
        <v>503</v>
      </c>
      <c r="Z1183" s="106" t="s">
        <v>12</v>
      </c>
      <c r="AA1183" s="109"/>
    </row>
    <row r="1184" spans="2:27" x14ac:dyDescent="0.25">
      <c r="B1184" s="192"/>
      <c r="C1184" s="192" t="str">
        <f>TEXT(data[[#This Row],[Fecha de Envío
Cotización]],"MMMM")</f>
        <v>junio</v>
      </c>
      <c r="D1184" s="192">
        <v>44354</v>
      </c>
      <c r="E1184" s="174" t="str">
        <f>IF(data[[#This Row],[Estatus de 
Cotización]]="PERDIDO","N/A","")</f>
        <v/>
      </c>
      <c r="F1184" s="192"/>
      <c r="G1184" s="109"/>
      <c r="H1184" s="192"/>
      <c r="I1184" s="86" t="s">
        <v>1936</v>
      </c>
      <c r="J1184" s="87">
        <v>720</v>
      </c>
      <c r="K1184" s="110" t="s">
        <v>31</v>
      </c>
      <c r="L1184" s="106"/>
      <c r="M1184" t="s">
        <v>1952</v>
      </c>
      <c r="N1184" s="106">
        <v>22</v>
      </c>
      <c r="O1184" s="107"/>
      <c r="P1184" s="27">
        <v>31.66</v>
      </c>
      <c r="Q1184" s="28">
        <f>data[[#This Row],[Costo Producto
Proveedor ($/Unid)]]*data[[#This Row],[Cantidad]]</f>
        <v>0</v>
      </c>
      <c r="R1184" s="28">
        <f>data[[#This Row],[Cantidad]]*data[[#This Row],[Precio de Venta Cliente ($/Unid)]]</f>
        <v>696.52</v>
      </c>
      <c r="S1184" s="29"/>
      <c r="T1184" s="109" t="s">
        <v>119</v>
      </c>
      <c r="U1184" s="109"/>
      <c r="V1184" s="30" t="s">
        <v>46</v>
      </c>
      <c r="W1184" s="32" t="s">
        <v>46</v>
      </c>
      <c r="X1184" s="106" t="s">
        <v>503</v>
      </c>
      <c r="Y1184" s="106" t="s">
        <v>503</v>
      </c>
      <c r="Z1184" s="106" t="s">
        <v>12</v>
      </c>
      <c r="AA1184" s="109"/>
    </row>
    <row r="1185" spans="2:27" x14ac:dyDescent="0.25">
      <c r="B1185" s="192"/>
      <c r="C1185" s="192" t="str">
        <f>TEXT(data[[#This Row],[Fecha de Envío
Cotización]],"MMMM")</f>
        <v>junio</v>
      </c>
      <c r="D1185" s="192">
        <v>44354</v>
      </c>
      <c r="E1185" s="174" t="str">
        <f>IF(data[[#This Row],[Estatus de 
Cotización]]="PERDIDO","N/A","")</f>
        <v/>
      </c>
      <c r="F1185" s="192"/>
      <c r="G1185" s="109"/>
      <c r="H1185" s="192"/>
      <c r="I1185" s="86" t="s">
        <v>1937</v>
      </c>
      <c r="J1185" s="87">
        <v>720</v>
      </c>
      <c r="K1185" s="110" t="s">
        <v>31</v>
      </c>
      <c r="L1185" s="106"/>
      <c r="M1185" t="s">
        <v>1953</v>
      </c>
      <c r="N1185" s="106">
        <v>6</v>
      </c>
      <c r="O1185" s="107"/>
      <c r="P1185" s="27">
        <v>43.9</v>
      </c>
      <c r="Q1185" s="28">
        <f>data[[#This Row],[Costo Producto
Proveedor ($/Unid)]]*data[[#This Row],[Cantidad]]</f>
        <v>0</v>
      </c>
      <c r="R1185" s="28">
        <f>data[[#This Row],[Cantidad]]*data[[#This Row],[Precio de Venta Cliente ($/Unid)]]</f>
        <v>263.39999999999998</v>
      </c>
      <c r="S1185" s="29"/>
      <c r="T1185" s="109" t="s">
        <v>119</v>
      </c>
      <c r="U1185" s="109"/>
      <c r="V1185" s="30" t="s">
        <v>46</v>
      </c>
      <c r="W1185" s="32" t="s">
        <v>46</v>
      </c>
      <c r="X1185" s="106" t="s">
        <v>503</v>
      </c>
      <c r="Y1185" s="106" t="s">
        <v>503</v>
      </c>
      <c r="Z1185" s="106" t="s">
        <v>12</v>
      </c>
      <c r="AA1185" s="109"/>
    </row>
    <row r="1186" spans="2:27" x14ac:dyDescent="0.25">
      <c r="B1186" s="192"/>
      <c r="C1186" s="192" t="str">
        <f>TEXT(data[[#This Row],[Fecha de Envío
Cotización]],"MMMM")</f>
        <v>junio</v>
      </c>
      <c r="D1186" s="192">
        <v>44354</v>
      </c>
      <c r="E1186" s="174" t="str">
        <f>IF(data[[#This Row],[Estatus de 
Cotización]]="PERDIDO","N/A","")</f>
        <v/>
      </c>
      <c r="F1186" s="192"/>
      <c r="G1186" s="109"/>
      <c r="H1186" s="192"/>
      <c r="I1186" s="86" t="s">
        <v>1938</v>
      </c>
      <c r="J1186" s="87">
        <v>720</v>
      </c>
      <c r="K1186" s="110" t="s">
        <v>31</v>
      </c>
      <c r="L1186" s="106"/>
      <c r="M1186" t="s">
        <v>1954</v>
      </c>
      <c r="N1186" s="106">
        <v>6</v>
      </c>
      <c r="O1186" s="107"/>
      <c r="P1186" s="27">
        <v>21.19</v>
      </c>
      <c r="Q1186" s="28">
        <f>data[[#This Row],[Costo Producto
Proveedor ($/Unid)]]*data[[#This Row],[Cantidad]]</f>
        <v>0</v>
      </c>
      <c r="R1186" s="28">
        <f>data[[#This Row],[Cantidad]]*data[[#This Row],[Precio de Venta Cliente ($/Unid)]]</f>
        <v>127.14000000000001</v>
      </c>
      <c r="S1186" s="29"/>
      <c r="T1186" s="109" t="s">
        <v>119</v>
      </c>
      <c r="U1186" s="109"/>
      <c r="V1186" s="30" t="s">
        <v>46</v>
      </c>
      <c r="W1186" s="32" t="s">
        <v>46</v>
      </c>
      <c r="X1186" s="106" t="s">
        <v>503</v>
      </c>
      <c r="Y1186" s="106" t="s">
        <v>503</v>
      </c>
      <c r="Z1186" s="106" t="s">
        <v>12</v>
      </c>
      <c r="AA1186" s="109"/>
    </row>
    <row r="1187" spans="2:27" x14ac:dyDescent="0.25">
      <c r="B1187" s="192"/>
      <c r="C1187" s="192" t="str">
        <f>TEXT(data[[#This Row],[Fecha de Envío
Cotización]],"MMMM")</f>
        <v>junio</v>
      </c>
      <c r="D1187" s="192">
        <v>44354</v>
      </c>
      <c r="E1187" s="174" t="str">
        <f>IF(data[[#This Row],[Estatus de 
Cotización]]="PERDIDO","N/A","")</f>
        <v/>
      </c>
      <c r="F1187" s="192"/>
      <c r="G1187" s="109"/>
      <c r="H1187" s="192"/>
      <c r="I1187" s="86" t="s">
        <v>1939</v>
      </c>
      <c r="J1187" s="87">
        <v>720</v>
      </c>
      <c r="K1187" s="110" t="s">
        <v>31</v>
      </c>
      <c r="L1187" s="106"/>
      <c r="M1187" t="s">
        <v>1955</v>
      </c>
      <c r="N1187" s="106">
        <v>48</v>
      </c>
      <c r="O1187" s="107"/>
      <c r="P1187" s="27">
        <v>10.62</v>
      </c>
      <c r="Q1187" s="28">
        <f>data[[#This Row],[Costo Producto
Proveedor ($/Unid)]]*data[[#This Row],[Cantidad]]</f>
        <v>0</v>
      </c>
      <c r="R1187" s="28">
        <f>data[[#This Row],[Cantidad]]*data[[#This Row],[Precio de Venta Cliente ($/Unid)]]</f>
        <v>509.76</v>
      </c>
      <c r="S1187" s="29"/>
      <c r="T1187" s="109" t="s">
        <v>119</v>
      </c>
      <c r="U1187" s="109"/>
      <c r="V1187" s="30" t="s">
        <v>46</v>
      </c>
      <c r="W1187" s="32" t="s">
        <v>46</v>
      </c>
      <c r="X1187" s="106" t="s">
        <v>503</v>
      </c>
      <c r="Y1187" s="106" t="s">
        <v>503</v>
      </c>
      <c r="Z1187" s="106" t="s">
        <v>12</v>
      </c>
      <c r="AA1187" s="109"/>
    </row>
    <row r="1188" spans="2:27" x14ac:dyDescent="0.25">
      <c r="B1188" s="192"/>
      <c r="C1188" s="192" t="str">
        <f>TEXT(data[[#This Row],[Fecha de Envío
Cotización]],"MMMM")</f>
        <v>junio</v>
      </c>
      <c r="D1188" s="192">
        <v>44354</v>
      </c>
      <c r="E1188" s="174" t="str">
        <f>IF(data[[#This Row],[Estatus de 
Cotización]]="PERDIDO","N/A","")</f>
        <v/>
      </c>
      <c r="F1188" s="192"/>
      <c r="G1188" s="109"/>
      <c r="H1188" s="192"/>
      <c r="I1188" s="86" t="s">
        <v>1940</v>
      </c>
      <c r="J1188" s="87">
        <v>720</v>
      </c>
      <c r="K1188" s="110" t="s">
        <v>31</v>
      </c>
      <c r="L1188" s="106"/>
      <c r="M1188" t="s">
        <v>1956</v>
      </c>
      <c r="N1188" s="106">
        <v>6</v>
      </c>
      <c r="O1188" s="107"/>
      <c r="P1188" s="27">
        <v>20.71</v>
      </c>
      <c r="Q1188" s="28">
        <f>data[[#This Row],[Costo Producto
Proveedor ($/Unid)]]*data[[#This Row],[Cantidad]]</f>
        <v>0</v>
      </c>
      <c r="R1188" s="28">
        <f>data[[#This Row],[Cantidad]]*data[[#This Row],[Precio de Venta Cliente ($/Unid)]]</f>
        <v>124.26</v>
      </c>
      <c r="S1188" s="29"/>
      <c r="T1188" s="109" t="s">
        <v>119</v>
      </c>
      <c r="U1188" s="109"/>
      <c r="V1188" s="30" t="s">
        <v>46</v>
      </c>
      <c r="W1188" s="32" t="s">
        <v>46</v>
      </c>
      <c r="X1188" s="106" t="s">
        <v>503</v>
      </c>
      <c r="Y1188" s="106" t="s">
        <v>503</v>
      </c>
      <c r="Z1188" s="106" t="s">
        <v>12</v>
      </c>
      <c r="AA1188" s="109"/>
    </row>
    <row r="1189" spans="2:27" x14ac:dyDescent="0.25">
      <c r="B1189" s="192"/>
      <c r="C1189" s="192" t="str">
        <f>TEXT(data[[#This Row],[Fecha de Envío
Cotización]],"MMMM")</f>
        <v>junio</v>
      </c>
      <c r="D1189" s="192">
        <v>44354</v>
      </c>
      <c r="E1189" s="174" t="str">
        <f>IF(data[[#This Row],[Estatus de 
Cotización]]="PERDIDO","N/A","")</f>
        <v/>
      </c>
      <c r="F1189" s="192"/>
      <c r="G1189" s="109"/>
      <c r="H1189" s="192"/>
      <c r="I1189" s="86" t="s">
        <v>1941</v>
      </c>
      <c r="J1189" s="87">
        <v>720</v>
      </c>
      <c r="K1189" s="110" t="s">
        <v>31</v>
      </c>
      <c r="L1189" s="106"/>
      <c r="M1189" t="s">
        <v>1957</v>
      </c>
      <c r="N1189" s="106">
        <v>4</v>
      </c>
      <c r="O1189" s="107"/>
      <c r="P1189" s="27">
        <v>13.91</v>
      </c>
      <c r="Q1189" s="28">
        <f>data[[#This Row],[Costo Producto
Proveedor ($/Unid)]]*data[[#This Row],[Cantidad]]</f>
        <v>0</v>
      </c>
      <c r="R1189" s="28">
        <f>data[[#This Row],[Cantidad]]*data[[#This Row],[Precio de Venta Cliente ($/Unid)]]</f>
        <v>55.64</v>
      </c>
      <c r="S1189" s="29"/>
      <c r="T1189" s="109" t="s">
        <v>119</v>
      </c>
      <c r="U1189" s="109"/>
      <c r="V1189" s="30" t="s">
        <v>46</v>
      </c>
      <c r="W1189" s="32" t="s">
        <v>46</v>
      </c>
      <c r="X1189" s="106" t="s">
        <v>503</v>
      </c>
      <c r="Y1189" s="106" t="s">
        <v>503</v>
      </c>
      <c r="Z1189" s="106" t="s">
        <v>12</v>
      </c>
      <c r="AA1189" s="109"/>
    </row>
    <row r="1190" spans="2:27" x14ac:dyDescent="0.25">
      <c r="B1190" s="192"/>
      <c r="C1190" s="192" t="str">
        <f>TEXT(data[[#This Row],[Fecha de Envío
Cotización]],"MMMM")</f>
        <v>junio</v>
      </c>
      <c r="D1190" s="192">
        <v>44354</v>
      </c>
      <c r="E1190" s="174" t="str">
        <f>IF(data[[#This Row],[Estatus de 
Cotización]]="PERDIDO","N/A","")</f>
        <v/>
      </c>
      <c r="F1190" s="192"/>
      <c r="G1190" s="109"/>
      <c r="H1190" s="192"/>
      <c r="I1190" s="86" t="s">
        <v>1942</v>
      </c>
      <c r="J1190" s="87">
        <v>720</v>
      </c>
      <c r="K1190" s="110" t="s">
        <v>31</v>
      </c>
      <c r="L1190" s="106"/>
      <c r="M1190" t="s">
        <v>1958</v>
      </c>
      <c r="N1190" s="106">
        <v>4</v>
      </c>
      <c r="O1190" s="107"/>
      <c r="P1190" s="27">
        <v>22.35</v>
      </c>
      <c r="Q1190" s="28">
        <f>data[[#This Row],[Costo Producto
Proveedor ($/Unid)]]*data[[#This Row],[Cantidad]]</f>
        <v>0</v>
      </c>
      <c r="R1190" s="28">
        <f>data[[#This Row],[Cantidad]]*data[[#This Row],[Precio de Venta Cliente ($/Unid)]]</f>
        <v>89.4</v>
      </c>
      <c r="S1190" s="29"/>
      <c r="T1190" s="109" t="s">
        <v>119</v>
      </c>
      <c r="U1190" s="109"/>
      <c r="V1190" s="30" t="s">
        <v>46</v>
      </c>
      <c r="W1190" s="32" t="s">
        <v>46</v>
      </c>
      <c r="X1190" s="106" t="s">
        <v>503</v>
      </c>
      <c r="Y1190" s="106" t="s">
        <v>503</v>
      </c>
      <c r="Z1190" s="106" t="s">
        <v>12</v>
      </c>
      <c r="AA1190" s="109"/>
    </row>
    <row r="1191" spans="2:27" x14ac:dyDescent="0.25">
      <c r="B1191" s="192"/>
      <c r="C1191" s="192" t="str">
        <f>TEXT(data[[#This Row],[Fecha de Envío
Cotización]],"MMMM")</f>
        <v>junio</v>
      </c>
      <c r="D1191" s="192">
        <v>44354</v>
      </c>
      <c r="E1191" s="174" t="str">
        <f>IF(data[[#This Row],[Estatus de 
Cotización]]="PERDIDO","N/A","")</f>
        <v/>
      </c>
      <c r="F1191" s="192"/>
      <c r="G1191" s="109"/>
      <c r="H1191" s="192"/>
      <c r="I1191" s="86" t="s">
        <v>1943</v>
      </c>
      <c r="J1191" s="87">
        <v>720</v>
      </c>
      <c r="K1191" s="110" t="s">
        <v>31</v>
      </c>
      <c r="L1191" s="106"/>
      <c r="M1191" t="s">
        <v>1959</v>
      </c>
      <c r="N1191" s="106">
        <v>6</v>
      </c>
      <c r="O1191" s="107"/>
      <c r="P1191" s="27">
        <v>6.27</v>
      </c>
      <c r="Q1191" s="28">
        <f>data[[#This Row],[Costo Producto
Proveedor ($/Unid)]]*data[[#This Row],[Cantidad]]</f>
        <v>0</v>
      </c>
      <c r="R1191" s="28">
        <f>data[[#This Row],[Cantidad]]*data[[#This Row],[Precio de Venta Cliente ($/Unid)]]</f>
        <v>37.619999999999997</v>
      </c>
      <c r="S1191" s="29"/>
      <c r="T1191" s="109" t="s">
        <v>119</v>
      </c>
      <c r="U1191" s="109"/>
      <c r="V1191" s="30" t="s">
        <v>46</v>
      </c>
      <c r="W1191" s="32" t="s">
        <v>46</v>
      </c>
      <c r="X1191" s="106" t="s">
        <v>503</v>
      </c>
      <c r="Y1191" s="106" t="s">
        <v>503</v>
      </c>
      <c r="Z1191" s="106" t="s">
        <v>12</v>
      </c>
      <c r="AA1191" s="109"/>
    </row>
    <row r="1192" spans="2:27" x14ac:dyDescent="0.25">
      <c r="B1192" s="192"/>
      <c r="C1192" s="192" t="str">
        <f>TEXT(data[[#This Row],[Fecha de Envío
Cotización]],"MMMM")</f>
        <v>junio</v>
      </c>
      <c r="D1192" s="192">
        <v>44354</v>
      </c>
      <c r="E1192" s="174" t="str">
        <f>IF(data[[#This Row],[Estatus de 
Cotización]]="PERDIDO","N/A","")</f>
        <v/>
      </c>
      <c r="F1192" s="192"/>
      <c r="G1192" s="109"/>
      <c r="H1192" s="192"/>
      <c r="I1192" s="86" t="s">
        <v>1944</v>
      </c>
      <c r="J1192" s="87">
        <v>720</v>
      </c>
      <c r="K1192" s="110" t="s">
        <v>31</v>
      </c>
      <c r="L1192" s="106"/>
      <c r="M1192" t="s">
        <v>1960</v>
      </c>
      <c r="N1192" s="106">
        <v>4</v>
      </c>
      <c r="O1192" s="107"/>
      <c r="P1192" s="27">
        <v>4.9400000000000004</v>
      </c>
      <c r="Q1192" s="28">
        <f>data[[#This Row],[Costo Producto
Proveedor ($/Unid)]]*data[[#This Row],[Cantidad]]</f>
        <v>0</v>
      </c>
      <c r="R1192" s="28">
        <f>data[[#This Row],[Cantidad]]*data[[#This Row],[Precio de Venta Cliente ($/Unid)]]</f>
        <v>19.760000000000002</v>
      </c>
      <c r="S1192" s="29"/>
      <c r="T1192" s="109" t="s">
        <v>119</v>
      </c>
      <c r="U1192" s="109"/>
      <c r="V1192" s="30" t="s">
        <v>46</v>
      </c>
      <c r="W1192" s="32" t="s">
        <v>46</v>
      </c>
      <c r="X1192" s="106" t="s">
        <v>503</v>
      </c>
      <c r="Y1192" s="106" t="s">
        <v>503</v>
      </c>
      <c r="Z1192" s="106" t="s">
        <v>12</v>
      </c>
      <c r="AA1192" s="109"/>
    </row>
    <row r="1193" spans="2:27" x14ac:dyDescent="0.25">
      <c r="B1193" s="192"/>
      <c r="C1193" s="192" t="str">
        <f>TEXT(data[[#This Row],[Fecha de Envío
Cotización]],"MMMM")</f>
        <v>junio</v>
      </c>
      <c r="D1193" s="192">
        <v>44354</v>
      </c>
      <c r="E1193" s="174" t="str">
        <f>IF(data[[#This Row],[Estatus de 
Cotización]]="PERDIDO","N/A","")</f>
        <v/>
      </c>
      <c r="F1193" s="192"/>
      <c r="G1193" s="109"/>
      <c r="H1193" s="192"/>
      <c r="I1193" s="86" t="s">
        <v>1945</v>
      </c>
      <c r="J1193" s="87">
        <v>720</v>
      </c>
      <c r="K1193" s="110" t="s">
        <v>31</v>
      </c>
      <c r="L1193" s="106"/>
      <c r="M1193" t="s">
        <v>1961</v>
      </c>
      <c r="N1193" s="106">
        <v>4</v>
      </c>
      <c r="O1193" s="107"/>
      <c r="P1193" s="27">
        <v>6.27</v>
      </c>
      <c r="Q1193" s="28">
        <f>data[[#This Row],[Costo Producto
Proveedor ($/Unid)]]*data[[#This Row],[Cantidad]]</f>
        <v>0</v>
      </c>
      <c r="R1193" s="28">
        <f>data[[#This Row],[Cantidad]]*data[[#This Row],[Precio de Venta Cliente ($/Unid)]]</f>
        <v>25.08</v>
      </c>
      <c r="S1193" s="29"/>
      <c r="T1193" s="109" t="s">
        <v>119</v>
      </c>
      <c r="U1193" s="109"/>
      <c r="V1193" s="30" t="s">
        <v>46</v>
      </c>
      <c r="W1193" s="32" t="s">
        <v>46</v>
      </c>
      <c r="X1193" s="106" t="s">
        <v>503</v>
      </c>
      <c r="Y1193" s="106" t="s">
        <v>503</v>
      </c>
      <c r="Z1193" s="106" t="s">
        <v>12</v>
      </c>
      <c r="AA1193" s="109"/>
    </row>
    <row r="1194" spans="2:27" x14ac:dyDescent="0.25">
      <c r="B1194" s="192"/>
      <c r="C1194" s="192" t="str">
        <f>TEXT(data[[#This Row],[Fecha de Envío
Cotización]],"MMMM")</f>
        <v>junio</v>
      </c>
      <c r="D1194" s="192">
        <v>44354</v>
      </c>
      <c r="E1194" s="174" t="str">
        <f>IF(data[[#This Row],[Estatus de 
Cotización]]="PERDIDO","N/A","")</f>
        <v/>
      </c>
      <c r="F1194" s="192"/>
      <c r="G1194" s="109"/>
      <c r="H1194" s="192"/>
      <c r="I1194" s="86" t="s">
        <v>1946</v>
      </c>
      <c r="J1194" s="87">
        <v>720</v>
      </c>
      <c r="K1194" s="110" t="s">
        <v>31</v>
      </c>
      <c r="L1194" s="106"/>
      <c r="M1194" t="s">
        <v>1962</v>
      </c>
      <c r="N1194" s="106">
        <v>12</v>
      </c>
      <c r="O1194" s="107"/>
      <c r="P1194" s="27">
        <v>7.06</v>
      </c>
      <c r="Q1194" s="28">
        <f>data[[#This Row],[Costo Producto
Proveedor ($/Unid)]]*data[[#This Row],[Cantidad]]</f>
        <v>0</v>
      </c>
      <c r="R1194" s="28">
        <f>data[[#This Row],[Cantidad]]*data[[#This Row],[Precio de Venta Cliente ($/Unid)]]</f>
        <v>84.72</v>
      </c>
      <c r="S1194" s="29"/>
      <c r="T1194" s="109" t="s">
        <v>119</v>
      </c>
      <c r="U1194" s="109"/>
      <c r="V1194" s="30" t="s">
        <v>46</v>
      </c>
      <c r="W1194" s="32" t="s">
        <v>46</v>
      </c>
      <c r="X1194" s="106" t="s">
        <v>503</v>
      </c>
      <c r="Y1194" s="106" t="s">
        <v>503</v>
      </c>
      <c r="Z1194" s="106" t="s">
        <v>12</v>
      </c>
      <c r="AA1194" s="109"/>
    </row>
    <row r="1195" spans="2:27" x14ac:dyDescent="0.25">
      <c r="B1195" s="192"/>
      <c r="C1195" s="192" t="str">
        <f>TEXT(data[[#This Row],[Fecha de Envío
Cotización]],"MMMM")</f>
        <v>junio</v>
      </c>
      <c r="D1195" s="192">
        <v>44355</v>
      </c>
      <c r="E1195" s="174" t="str">
        <f>IF(data[[#This Row],[Estatus de 
Cotización]]="PERDIDO","N/A","")</f>
        <v/>
      </c>
      <c r="F1195" s="192"/>
      <c r="G1195" s="109"/>
      <c r="H1195" s="192"/>
      <c r="I1195" s="86" t="s">
        <v>1997</v>
      </c>
      <c r="J1195" s="87">
        <v>740</v>
      </c>
      <c r="K1195" s="110" t="s">
        <v>1259</v>
      </c>
      <c r="L1195" s="106"/>
      <c r="M1195" t="s">
        <v>1998</v>
      </c>
      <c r="N1195" s="106">
        <v>10</v>
      </c>
      <c r="O1195" s="107"/>
      <c r="P1195" s="27">
        <v>275.39999999999998</v>
      </c>
      <c r="Q1195" s="28">
        <f>data[[#This Row],[Costo Producto
Proveedor ($/Unid)]]*data[[#This Row],[Cantidad]]</f>
        <v>0</v>
      </c>
      <c r="R1195" s="28">
        <f>data[[#This Row],[Cantidad]]*data[[#This Row],[Precio de Venta Cliente ($/Unid)]]</f>
        <v>2754</v>
      </c>
      <c r="S1195" s="29"/>
      <c r="T1195" s="109" t="s">
        <v>119</v>
      </c>
      <c r="U1195" s="109"/>
      <c r="V1195" s="30" t="s">
        <v>46</v>
      </c>
      <c r="W1195" s="32" t="s">
        <v>46</v>
      </c>
      <c r="X1195" s="106" t="s">
        <v>503</v>
      </c>
      <c r="Y1195" s="106" t="s">
        <v>503</v>
      </c>
      <c r="Z1195" s="106" t="s">
        <v>12</v>
      </c>
      <c r="AA1195" s="109"/>
    </row>
    <row r="1196" spans="2:27" x14ac:dyDescent="0.25">
      <c r="B1196" s="192"/>
      <c r="C1196" s="192" t="str">
        <f>TEXT(data[[#This Row],[Fecha de Envío
Cotización]],"MMMM")</f>
        <v>junio</v>
      </c>
      <c r="D1196" s="192">
        <v>44356</v>
      </c>
      <c r="E1196" s="174" t="str">
        <f>IF(data[[#This Row],[Estatus de 
Cotización]]="PERDIDO","N/A","")</f>
        <v/>
      </c>
      <c r="F1196" s="192"/>
      <c r="G1196" s="109"/>
      <c r="H1196" s="192"/>
      <c r="I1196" s="86" t="s">
        <v>2002</v>
      </c>
      <c r="J1196" s="87">
        <v>744</v>
      </c>
      <c r="K1196" s="110" t="s">
        <v>31</v>
      </c>
      <c r="L1196" s="106"/>
      <c r="M1196" t="s">
        <v>2003</v>
      </c>
      <c r="N1196" s="106">
        <v>4</v>
      </c>
      <c r="O1196" s="107"/>
      <c r="P1196" s="27">
        <v>522.9</v>
      </c>
      <c r="Q1196" s="28">
        <f>data[[#This Row],[Costo Producto
Proveedor ($/Unid)]]*data[[#This Row],[Cantidad]]</f>
        <v>0</v>
      </c>
      <c r="R1196" s="28">
        <f>data[[#This Row],[Cantidad]]*data[[#This Row],[Precio de Venta Cliente ($/Unid)]]</f>
        <v>2091.6</v>
      </c>
      <c r="S1196" s="29"/>
      <c r="T1196" s="109" t="s">
        <v>2004</v>
      </c>
      <c r="U1196" s="109"/>
      <c r="V1196" s="30" t="s">
        <v>46</v>
      </c>
      <c r="W1196" s="32" t="s">
        <v>46</v>
      </c>
      <c r="X1196" s="106" t="s">
        <v>503</v>
      </c>
      <c r="Y1196" s="106" t="s">
        <v>503</v>
      </c>
      <c r="Z1196" s="106" t="s">
        <v>12</v>
      </c>
      <c r="AA1196" s="109"/>
    </row>
    <row r="1197" spans="2:27" x14ac:dyDescent="0.25">
      <c r="B1197" s="192"/>
      <c r="C1197" s="192" t="str">
        <f>TEXT(data[[#This Row],[Fecha de Envío
Cotización]],"MMMM")</f>
        <v>junio</v>
      </c>
      <c r="D1197" s="192">
        <v>44356</v>
      </c>
      <c r="E1197" s="174" t="str">
        <f>IF(data[[#This Row],[Estatus de 
Cotización]]="PERDIDO","N/A","")</f>
        <v/>
      </c>
      <c r="F1197" s="192"/>
      <c r="G1197" s="109"/>
      <c r="H1197" s="192"/>
      <c r="I1197" s="86" t="s">
        <v>2009</v>
      </c>
      <c r="J1197" s="87">
        <v>748</v>
      </c>
      <c r="K1197" s="110" t="s">
        <v>81</v>
      </c>
      <c r="L1197" s="106"/>
      <c r="M1197" t="s">
        <v>2010</v>
      </c>
      <c r="N1197" s="106">
        <v>4</v>
      </c>
      <c r="O1197" s="107"/>
      <c r="P1197" s="27">
        <v>319.44</v>
      </c>
      <c r="Q1197" s="28">
        <f>data[[#This Row],[Costo Producto
Proveedor ($/Unid)]]*data[[#This Row],[Cantidad]]</f>
        <v>0</v>
      </c>
      <c r="R1197" s="28">
        <f>data[[#This Row],[Cantidad]]*data[[#This Row],[Precio de Venta Cliente ($/Unid)]]</f>
        <v>1277.76</v>
      </c>
      <c r="S1197" s="29"/>
      <c r="T1197" s="109" t="s">
        <v>926</v>
      </c>
      <c r="U1197" s="109"/>
      <c r="V1197" s="30" t="s">
        <v>46</v>
      </c>
      <c r="W1197" s="32" t="s">
        <v>46</v>
      </c>
      <c r="X1197" s="106" t="s">
        <v>503</v>
      </c>
      <c r="Y1197" s="106" t="s">
        <v>503</v>
      </c>
      <c r="Z1197" s="106" t="s">
        <v>12</v>
      </c>
      <c r="AA1197" s="109"/>
    </row>
    <row r="1198" spans="2:27" x14ac:dyDescent="0.25">
      <c r="B1198" s="192"/>
      <c r="C1198" s="192" t="str">
        <f>TEXT(data[[#This Row],[Fecha de Envío
Cotización]],"MMMM")</f>
        <v>junio</v>
      </c>
      <c r="D1198" s="192">
        <v>44357</v>
      </c>
      <c r="E1198" s="174" t="str">
        <f>IF(data[[#This Row],[Estatus de 
Cotización]]="PERDIDO","N/A","")</f>
        <v/>
      </c>
      <c r="F1198" s="192"/>
      <c r="G1198" s="109"/>
      <c r="H1198" s="192"/>
      <c r="I1198" s="86" t="s">
        <v>2018</v>
      </c>
      <c r="J1198" s="87">
        <v>756</v>
      </c>
      <c r="K1198" s="110" t="s">
        <v>31</v>
      </c>
      <c r="L1198" s="106"/>
      <c r="M1198" t="s">
        <v>2019</v>
      </c>
      <c r="N1198" s="106">
        <v>250</v>
      </c>
      <c r="O1198" s="107"/>
      <c r="P1198" s="27">
        <v>1.39</v>
      </c>
      <c r="Q1198" s="28">
        <f>data[[#This Row],[Costo Producto
Proveedor ($/Unid)]]*data[[#This Row],[Cantidad]]</f>
        <v>0</v>
      </c>
      <c r="R1198" s="28">
        <f>data[[#This Row],[Cantidad]]*data[[#This Row],[Precio de Venta Cliente ($/Unid)]]</f>
        <v>347.5</v>
      </c>
      <c r="S1198" s="29"/>
      <c r="T1198" s="109" t="s">
        <v>22</v>
      </c>
      <c r="U1198" s="109"/>
      <c r="V1198" s="30" t="s">
        <v>46</v>
      </c>
      <c r="W1198" s="32" t="s">
        <v>46</v>
      </c>
      <c r="X1198" s="106" t="s">
        <v>503</v>
      </c>
      <c r="Y1198" s="106" t="s">
        <v>503</v>
      </c>
      <c r="Z1198" s="106" t="s">
        <v>12</v>
      </c>
      <c r="AA1198" s="109"/>
    </row>
    <row r="1199" spans="2:27" x14ac:dyDescent="0.25">
      <c r="B1199" s="192"/>
      <c r="C1199" s="192" t="str">
        <f>TEXT(data[[#This Row],[Fecha de Envío
Cotización]],"MMMM")</f>
        <v>junio</v>
      </c>
      <c r="D1199" s="192">
        <v>44357</v>
      </c>
      <c r="E1199" s="174" t="str">
        <f>IF(data[[#This Row],[Estatus de 
Cotización]]="PERDIDO","N/A","")</f>
        <v/>
      </c>
      <c r="F1199" s="192"/>
      <c r="G1199" s="109"/>
      <c r="H1199" s="192"/>
      <c r="I1199" s="86" t="s">
        <v>2020</v>
      </c>
      <c r="J1199" s="87">
        <v>756</v>
      </c>
      <c r="K1199" s="110" t="s">
        <v>31</v>
      </c>
      <c r="L1199" s="106"/>
      <c r="M1199" t="s">
        <v>2023</v>
      </c>
      <c r="N1199" s="106">
        <v>25</v>
      </c>
      <c r="O1199" s="107"/>
      <c r="P1199" s="27">
        <v>6.91</v>
      </c>
      <c r="Q1199" s="28">
        <f>data[[#This Row],[Costo Producto
Proveedor ($/Unid)]]*data[[#This Row],[Cantidad]]</f>
        <v>0</v>
      </c>
      <c r="R1199" s="28">
        <f>data[[#This Row],[Cantidad]]*data[[#This Row],[Precio de Venta Cliente ($/Unid)]]</f>
        <v>172.75</v>
      </c>
      <c r="S1199" s="29"/>
      <c r="T1199" s="109" t="s">
        <v>22</v>
      </c>
      <c r="U1199" s="109"/>
      <c r="V1199" s="30" t="s">
        <v>46</v>
      </c>
      <c r="W1199" s="32" t="s">
        <v>46</v>
      </c>
      <c r="X1199" s="106" t="s">
        <v>503</v>
      </c>
      <c r="Y1199" s="106" t="s">
        <v>503</v>
      </c>
      <c r="Z1199" s="106" t="s">
        <v>12</v>
      </c>
      <c r="AA1199" s="109"/>
    </row>
    <row r="1200" spans="2:27" x14ac:dyDescent="0.25">
      <c r="B1200" s="192"/>
      <c r="C1200" s="192" t="str">
        <f>TEXT(data[[#This Row],[Fecha de Envío
Cotización]],"MMMM")</f>
        <v>junio</v>
      </c>
      <c r="D1200" s="192">
        <v>44357</v>
      </c>
      <c r="E1200" s="174" t="str">
        <f>IF(data[[#This Row],[Estatus de 
Cotización]]="PERDIDO","N/A","")</f>
        <v/>
      </c>
      <c r="F1200" s="192"/>
      <c r="G1200" s="109"/>
      <c r="H1200" s="192"/>
      <c r="I1200" s="86" t="s">
        <v>2021</v>
      </c>
      <c r="J1200" s="87">
        <v>756</v>
      </c>
      <c r="K1200" s="110" t="s">
        <v>31</v>
      </c>
      <c r="L1200" s="106"/>
      <c r="M1200" t="s">
        <v>2024</v>
      </c>
      <c r="N1200" s="106">
        <v>8</v>
      </c>
      <c r="O1200" s="107"/>
      <c r="P1200" s="27">
        <v>2</v>
      </c>
      <c r="Q1200" s="28">
        <f>data[[#This Row],[Costo Producto
Proveedor ($/Unid)]]*data[[#This Row],[Cantidad]]</f>
        <v>0</v>
      </c>
      <c r="R1200" s="28">
        <f>data[[#This Row],[Cantidad]]*data[[#This Row],[Precio de Venta Cliente ($/Unid)]]</f>
        <v>16</v>
      </c>
      <c r="S1200" s="29"/>
      <c r="T1200" s="109" t="s">
        <v>22</v>
      </c>
      <c r="U1200" s="109"/>
      <c r="V1200" s="30" t="s">
        <v>46</v>
      </c>
      <c r="W1200" s="32" t="s">
        <v>46</v>
      </c>
      <c r="X1200" s="106" t="s">
        <v>503</v>
      </c>
      <c r="Y1200" s="106" t="s">
        <v>503</v>
      </c>
      <c r="Z1200" s="106" t="s">
        <v>12</v>
      </c>
      <c r="AA1200" s="109"/>
    </row>
    <row r="1201" spans="2:27" x14ac:dyDescent="0.25">
      <c r="B1201" s="192"/>
      <c r="C1201" s="192" t="str">
        <f>TEXT(data[[#This Row],[Fecha de Envío
Cotización]],"MMMM")</f>
        <v>junio</v>
      </c>
      <c r="D1201" s="192">
        <v>44357</v>
      </c>
      <c r="E1201" s="174" t="str">
        <f>IF(data[[#This Row],[Estatus de 
Cotización]]="PERDIDO","N/A","")</f>
        <v/>
      </c>
      <c r="F1201" s="192"/>
      <c r="G1201" s="109"/>
      <c r="H1201" s="192"/>
      <c r="I1201" s="86" t="s">
        <v>2022</v>
      </c>
      <c r="J1201" s="87">
        <v>756</v>
      </c>
      <c r="K1201" s="110" t="s">
        <v>31</v>
      </c>
      <c r="L1201" s="106"/>
      <c r="M1201" t="s">
        <v>2025</v>
      </c>
      <c r="N1201" s="106">
        <v>1</v>
      </c>
      <c r="O1201" s="107"/>
      <c r="P1201" s="27">
        <v>283.5</v>
      </c>
      <c r="Q1201" s="28">
        <f>data[[#This Row],[Costo Producto
Proveedor ($/Unid)]]*data[[#This Row],[Cantidad]]</f>
        <v>0</v>
      </c>
      <c r="R1201" s="28">
        <f>data[[#This Row],[Cantidad]]*data[[#This Row],[Precio de Venta Cliente ($/Unid)]]</f>
        <v>283.5</v>
      </c>
      <c r="S1201" s="29"/>
      <c r="T1201" s="109" t="s">
        <v>22</v>
      </c>
      <c r="U1201" s="109"/>
      <c r="V1201" s="30" t="s">
        <v>46</v>
      </c>
      <c r="W1201" s="32" t="s">
        <v>46</v>
      </c>
      <c r="X1201" s="106" t="s">
        <v>503</v>
      </c>
      <c r="Y1201" s="106" t="s">
        <v>503</v>
      </c>
      <c r="Z1201" s="106" t="s">
        <v>12</v>
      </c>
      <c r="AA1201" s="109"/>
    </row>
    <row r="1202" spans="2:27" s="105" customFormat="1" x14ac:dyDescent="0.25">
      <c r="B1202" s="192"/>
      <c r="C1202" s="192" t="str">
        <f>TEXT(data[[#This Row],[Fecha de Envío
Cotización]],"MMMM")</f>
        <v>junio</v>
      </c>
      <c r="D1202" s="192">
        <v>44358</v>
      </c>
      <c r="E1202" s="174" t="str">
        <f>IF(data[[#This Row],[Estatus de 
Cotización]]="PERDIDO","N/A","")</f>
        <v>N/A</v>
      </c>
      <c r="F1202" s="192"/>
      <c r="G1202" s="109"/>
      <c r="H1202" s="192"/>
      <c r="I1202" s="86"/>
      <c r="J1202" s="87" t="s">
        <v>2352</v>
      </c>
      <c r="K1202" s="110" t="s">
        <v>130</v>
      </c>
      <c r="L1202" s="106"/>
      <c r="M1202" s="105" t="s">
        <v>2320</v>
      </c>
      <c r="N1202" s="106">
        <v>2</v>
      </c>
      <c r="O1202" s="107"/>
      <c r="P1202" s="27">
        <v>2488.2800000000002</v>
      </c>
      <c r="Q1202" s="28">
        <f>data[[#This Row],[Costo Producto
Proveedor ($/Unid)]]*data[[#This Row],[Cantidad]]</f>
        <v>0</v>
      </c>
      <c r="R1202" s="28">
        <f>data[[#This Row],[Cantidad]]*data[[#This Row],[Precio de Venta Cliente ($/Unid)]]</f>
        <v>4976.5600000000004</v>
      </c>
      <c r="S1202" s="29"/>
      <c r="T1202" s="109" t="s">
        <v>419</v>
      </c>
      <c r="U1202" s="109"/>
      <c r="V1202" s="30" t="s">
        <v>42</v>
      </c>
      <c r="W1202" s="32" t="s">
        <v>42</v>
      </c>
      <c r="X1202" s="106" t="s">
        <v>23</v>
      </c>
      <c r="Y1202" s="106" t="s">
        <v>23</v>
      </c>
      <c r="Z1202" s="106" t="s">
        <v>12</v>
      </c>
      <c r="AA1202" s="109"/>
    </row>
    <row r="1203" spans="2:27" s="105" customFormat="1" x14ac:dyDescent="0.25">
      <c r="B1203" s="192"/>
      <c r="C1203" s="192" t="str">
        <f>TEXT(data[[#This Row],[Fecha de Envío
Cotización]],"MMMM")</f>
        <v>junio</v>
      </c>
      <c r="D1203" s="192">
        <v>44358</v>
      </c>
      <c r="E1203" s="174" t="str">
        <f>IF(data[[#This Row],[Estatus de 
Cotización]]="PERDIDO","N/A","")</f>
        <v>N/A</v>
      </c>
      <c r="F1203" s="192"/>
      <c r="G1203" s="109"/>
      <c r="H1203" s="192"/>
      <c r="I1203" s="86"/>
      <c r="J1203" s="87" t="s">
        <v>2352</v>
      </c>
      <c r="K1203" s="110" t="s">
        <v>130</v>
      </c>
      <c r="L1203" s="106"/>
      <c r="M1203" s="105" t="s">
        <v>2321</v>
      </c>
      <c r="N1203" s="106">
        <v>2</v>
      </c>
      <c r="O1203" s="107"/>
      <c r="P1203" s="27">
        <v>2701.01</v>
      </c>
      <c r="Q1203" s="28">
        <f>data[[#This Row],[Costo Producto
Proveedor ($/Unid)]]*data[[#This Row],[Cantidad]]</f>
        <v>0</v>
      </c>
      <c r="R1203" s="28">
        <f>data[[#This Row],[Cantidad]]*data[[#This Row],[Precio de Venta Cliente ($/Unid)]]</f>
        <v>5402.02</v>
      </c>
      <c r="S1203" s="29"/>
      <c r="T1203" s="109" t="s">
        <v>419</v>
      </c>
      <c r="U1203" s="109"/>
      <c r="V1203" s="30" t="s">
        <v>42</v>
      </c>
      <c r="W1203" s="32" t="s">
        <v>42</v>
      </c>
      <c r="X1203" s="106" t="s">
        <v>23</v>
      </c>
      <c r="Y1203" s="106" t="s">
        <v>23</v>
      </c>
      <c r="Z1203" s="106" t="s">
        <v>12</v>
      </c>
      <c r="AA1203" s="109"/>
    </row>
    <row r="1204" spans="2:27" s="105" customFormat="1" x14ac:dyDescent="0.25">
      <c r="B1204" s="192"/>
      <c r="C1204" s="192" t="str">
        <f>TEXT(data[[#This Row],[Fecha de Envío
Cotización]],"MMMM")</f>
        <v>junio</v>
      </c>
      <c r="D1204" s="192">
        <v>44358</v>
      </c>
      <c r="E1204" s="174" t="str">
        <f>IF(data[[#This Row],[Estatus de 
Cotización]]="PERDIDO","N/A","")</f>
        <v>N/A</v>
      </c>
      <c r="F1204" s="192"/>
      <c r="G1204" s="109"/>
      <c r="H1204" s="192"/>
      <c r="I1204" s="86"/>
      <c r="J1204" s="87" t="s">
        <v>2352</v>
      </c>
      <c r="K1204" s="110" t="s">
        <v>130</v>
      </c>
      <c r="L1204" s="106"/>
      <c r="M1204" s="105" t="s">
        <v>2322</v>
      </c>
      <c r="N1204" s="106">
        <v>1</v>
      </c>
      <c r="O1204" s="107"/>
      <c r="P1204" s="27">
        <v>2488.2800000000002</v>
      </c>
      <c r="Q1204" s="28">
        <f>data[[#This Row],[Costo Producto
Proveedor ($/Unid)]]*data[[#This Row],[Cantidad]]</f>
        <v>0</v>
      </c>
      <c r="R1204" s="28">
        <f>data[[#This Row],[Cantidad]]*data[[#This Row],[Precio de Venta Cliente ($/Unid)]]</f>
        <v>2488.2800000000002</v>
      </c>
      <c r="S1204" s="29"/>
      <c r="T1204" s="109" t="s">
        <v>419</v>
      </c>
      <c r="U1204" s="109"/>
      <c r="V1204" s="30" t="s">
        <v>42</v>
      </c>
      <c r="W1204" s="32" t="s">
        <v>42</v>
      </c>
      <c r="X1204" s="106" t="s">
        <v>23</v>
      </c>
      <c r="Y1204" s="106" t="s">
        <v>23</v>
      </c>
      <c r="Z1204" s="106" t="s">
        <v>12</v>
      </c>
      <c r="AA1204" s="109"/>
    </row>
    <row r="1205" spans="2:27" s="105" customFormat="1" x14ac:dyDescent="0.25">
      <c r="B1205" s="192"/>
      <c r="C1205" s="192" t="str">
        <f>TEXT(data[[#This Row],[Fecha de Envío
Cotización]],"MMMM")</f>
        <v>junio</v>
      </c>
      <c r="D1205" s="192">
        <v>44358</v>
      </c>
      <c r="E1205" s="174" t="str">
        <f>IF(data[[#This Row],[Estatus de 
Cotización]]="PERDIDO","N/A","")</f>
        <v>N/A</v>
      </c>
      <c r="F1205" s="192"/>
      <c r="G1205" s="109"/>
      <c r="H1205" s="192"/>
      <c r="I1205" s="86"/>
      <c r="J1205" s="87" t="s">
        <v>2352</v>
      </c>
      <c r="K1205" s="110" t="s">
        <v>130</v>
      </c>
      <c r="L1205" s="106"/>
      <c r="M1205" s="105" t="s">
        <v>2323</v>
      </c>
      <c r="N1205" s="106">
        <v>1</v>
      </c>
      <c r="O1205" s="107"/>
      <c r="P1205" s="27">
        <v>2701.01</v>
      </c>
      <c r="Q1205" s="28">
        <f>data[[#This Row],[Costo Producto
Proveedor ($/Unid)]]*data[[#This Row],[Cantidad]]</f>
        <v>0</v>
      </c>
      <c r="R1205" s="28">
        <f>data[[#This Row],[Cantidad]]*data[[#This Row],[Precio de Venta Cliente ($/Unid)]]</f>
        <v>2701.01</v>
      </c>
      <c r="S1205" s="29"/>
      <c r="T1205" s="109" t="s">
        <v>419</v>
      </c>
      <c r="U1205" s="109"/>
      <c r="V1205" s="30" t="s">
        <v>42</v>
      </c>
      <c r="W1205" s="32" t="s">
        <v>42</v>
      </c>
      <c r="X1205" s="106" t="s">
        <v>23</v>
      </c>
      <c r="Y1205" s="106" t="s">
        <v>23</v>
      </c>
      <c r="Z1205" s="106" t="s">
        <v>12</v>
      </c>
      <c r="AA1205" s="109"/>
    </row>
    <row r="1206" spans="2:27" s="105" customFormat="1" x14ac:dyDescent="0.25">
      <c r="B1206" s="192"/>
      <c r="C1206" s="192" t="str">
        <f>TEXT(data[[#This Row],[Fecha de Envío
Cotización]],"MMMM")</f>
        <v>junio</v>
      </c>
      <c r="D1206" s="192">
        <v>44358</v>
      </c>
      <c r="E1206" s="174" t="str">
        <f>IF(data[[#This Row],[Estatus de 
Cotización]]="PERDIDO","N/A","")</f>
        <v>N/A</v>
      </c>
      <c r="F1206" s="192"/>
      <c r="G1206" s="109"/>
      <c r="H1206" s="192"/>
      <c r="I1206" s="86"/>
      <c r="J1206" s="87" t="s">
        <v>2352</v>
      </c>
      <c r="K1206" s="110" t="s">
        <v>130</v>
      </c>
      <c r="L1206" s="106"/>
      <c r="M1206" s="105" t="s">
        <v>2324</v>
      </c>
      <c r="N1206" s="106">
        <v>3</v>
      </c>
      <c r="O1206" s="107"/>
      <c r="P1206" s="27">
        <v>1716.98</v>
      </c>
      <c r="Q1206" s="28">
        <f>data[[#This Row],[Costo Producto
Proveedor ($/Unid)]]*data[[#This Row],[Cantidad]]</f>
        <v>0</v>
      </c>
      <c r="R1206" s="28">
        <f>data[[#This Row],[Cantidad]]*data[[#This Row],[Precio de Venta Cliente ($/Unid)]]</f>
        <v>5150.9400000000005</v>
      </c>
      <c r="S1206" s="29"/>
      <c r="T1206" s="109" t="s">
        <v>73</v>
      </c>
      <c r="U1206" s="109"/>
      <c r="V1206" s="30" t="s">
        <v>42</v>
      </c>
      <c r="W1206" s="32" t="s">
        <v>42</v>
      </c>
      <c r="X1206" s="106" t="s">
        <v>23</v>
      </c>
      <c r="Y1206" s="106" t="s">
        <v>23</v>
      </c>
      <c r="Z1206" s="106" t="s">
        <v>12</v>
      </c>
      <c r="AA1206" s="109"/>
    </row>
    <row r="1207" spans="2:27" s="105" customFormat="1" x14ac:dyDescent="0.25">
      <c r="B1207" s="192"/>
      <c r="C1207" s="192" t="str">
        <f>TEXT(data[[#This Row],[Fecha de Envío
Cotización]],"MMMM")</f>
        <v>junio</v>
      </c>
      <c r="D1207" s="192">
        <v>44358</v>
      </c>
      <c r="E1207" s="174" t="str">
        <f>IF(data[[#This Row],[Estatus de 
Cotización]]="PERDIDO","N/A","")</f>
        <v>N/A</v>
      </c>
      <c r="F1207" s="192"/>
      <c r="G1207" s="109"/>
      <c r="H1207" s="192"/>
      <c r="I1207" s="86"/>
      <c r="J1207" s="87" t="s">
        <v>2352</v>
      </c>
      <c r="K1207" s="110" t="s">
        <v>130</v>
      </c>
      <c r="L1207" s="106"/>
      <c r="M1207" s="105" t="s">
        <v>2325</v>
      </c>
      <c r="N1207" s="106">
        <v>3</v>
      </c>
      <c r="O1207" s="107"/>
      <c r="P1207" s="27">
        <v>2674.03</v>
      </c>
      <c r="Q1207" s="28">
        <f>data[[#This Row],[Costo Producto
Proveedor ($/Unid)]]*data[[#This Row],[Cantidad]]</f>
        <v>0</v>
      </c>
      <c r="R1207" s="28">
        <f>data[[#This Row],[Cantidad]]*data[[#This Row],[Precio de Venta Cliente ($/Unid)]]</f>
        <v>8022.09</v>
      </c>
      <c r="S1207" s="29"/>
      <c r="T1207" s="109" t="s">
        <v>73</v>
      </c>
      <c r="U1207" s="109"/>
      <c r="V1207" s="30" t="s">
        <v>42</v>
      </c>
      <c r="W1207" s="32" t="s">
        <v>42</v>
      </c>
      <c r="X1207" s="106" t="s">
        <v>23</v>
      </c>
      <c r="Y1207" s="106" t="s">
        <v>23</v>
      </c>
      <c r="Z1207" s="106" t="s">
        <v>12</v>
      </c>
      <c r="AA1207" s="109"/>
    </row>
    <row r="1208" spans="2:27" s="105" customFormat="1" x14ac:dyDescent="0.25">
      <c r="B1208" s="192"/>
      <c r="C1208" s="192" t="str">
        <f>TEXT(data[[#This Row],[Fecha de Envío
Cotización]],"MMMM")</f>
        <v>junio</v>
      </c>
      <c r="D1208" s="192">
        <v>44358</v>
      </c>
      <c r="E1208" s="174" t="str">
        <f>IF(data[[#This Row],[Estatus de 
Cotización]]="PERDIDO","N/A","")</f>
        <v>N/A</v>
      </c>
      <c r="F1208" s="192"/>
      <c r="G1208" s="109"/>
      <c r="H1208" s="192"/>
      <c r="I1208" s="86"/>
      <c r="J1208" s="87" t="s">
        <v>2352</v>
      </c>
      <c r="K1208" s="110" t="s">
        <v>130</v>
      </c>
      <c r="L1208" s="106"/>
      <c r="M1208" s="105" t="s">
        <v>2326</v>
      </c>
      <c r="N1208" s="106">
        <v>3</v>
      </c>
      <c r="O1208" s="107"/>
      <c r="P1208" s="27">
        <v>1003.7</v>
      </c>
      <c r="Q1208" s="28">
        <f>data[[#This Row],[Costo Producto
Proveedor ($/Unid)]]*data[[#This Row],[Cantidad]]</f>
        <v>0</v>
      </c>
      <c r="R1208" s="28">
        <f>data[[#This Row],[Cantidad]]*data[[#This Row],[Precio de Venta Cliente ($/Unid)]]</f>
        <v>3011.1000000000004</v>
      </c>
      <c r="S1208" s="29"/>
      <c r="T1208" s="109" t="s">
        <v>73</v>
      </c>
      <c r="U1208" s="109"/>
      <c r="V1208" s="30" t="s">
        <v>42</v>
      </c>
      <c r="W1208" s="32" t="s">
        <v>42</v>
      </c>
      <c r="X1208" s="106" t="s">
        <v>23</v>
      </c>
      <c r="Y1208" s="106" t="s">
        <v>23</v>
      </c>
      <c r="Z1208" s="106" t="s">
        <v>12</v>
      </c>
      <c r="AA1208" s="109"/>
    </row>
    <row r="1209" spans="2:27" s="105" customFormat="1" x14ac:dyDescent="0.25">
      <c r="B1209" s="192"/>
      <c r="C1209" s="192" t="str">
        <f>TEXT(data[[#This Row],[Fecha de Envío
Cotización]],"MMMM")</f>
        <v>junio</v>
      </c>
      <c r="D1209" s="192">
        <v>44358</v>
      </c>
      <c r="E1209" s="174" t="str">
        <f>IF(data[[#This Row],[Estatus de 
Cotización]]="PERDIDO","N/A","")</f>
        <v>N/A</v>
      </c>
      <c r="F1209" s="192"/>
      <c r="G1209" s="109"/>
      <c r="H1209" s="192"/>
      <c r="I1209" s="86"/>
      <c r="J1209" s="87" t="s">
        <v>2352</v>
      </c>
      <c r="K1209" s="110" t="s">
        <v>130</v>
      </c>
      <c r="L1209" s="106"/>
      <c r="M1209" s="105" t="s">
        <v>2327</v>
      </c>
      <c r="N1209" s="106">
        <v>2</v>
      </c>
      <c r="O1209" s="107"/>
      <c r="P1209" s="27">
        <v>327.81</v>
      </c>
      <c r="Q1209" s="28">
        <f>data[[#This Row],[Costo Producto
Proveedor ($/Unid)]]*data[[#This Row],[Cantidad]]</f>
        <v>0</v>
      </c>
      <c r="R1209" s="28">
        <f>data[[#This Row],[Cantidad]]*data[[#This Row],[Precio de Venta Cliente ($/Unid)]]</f>
        <v>655.62</v>
      </c>
      <c r="S1209" s="29"/>
      <c r="T1209" s="109" t="s">
        <v>134</v>
      </c>
      <c r="U1209" s="109"/>
      <c r="V1209" s="30" t="s">
        <v>42</v>
      </c>
      <c r="W1209" s="32" t="s">
        <v>42</v>
      </c>
      <c r="X1209" s="106" t="s">
        <v>23</v>
      </c>
      <c r="Y1209" s="106" t="s">
        <v>23</v>
      </c>
      <c r="Z1209" s="106" t="s">
        <v>12</v>
      </c>
      <c r="AA1209" s="109"/>
    </row>
    <row r="1210" spans="2:27" s="105" customFormat="1" x14ac:dyDescent="0.25">
      <c r="B1210" s="192"/>
      <c r="C1210" s="192" t="str">
        <f>TEXT(data[[#This Row],[Fecha de Envío
Cotización]],"MMMM")</f>
        <v>junio</v>
      </c>
      <c r="D1210" s="192">
        <v>44358</v>
      </c>
      <c r="E1210" s="174" t="str">
        <f>IF(data[[#This Row],[Estatus de 
Cotización]]="PERDIDO","N/A","")</f>
        <v>N/A</v>
      </c>
      <c r="F1210" s="192"/>
      <c r="G1210" s="109"/>
      <c r="H1210" s="192"/>
      <c r="I1210" s="86"/>
      <c r="J1210" s="87" t="s">
        <v>2352</v>
      </c>
      <c r="K1210" s="110" t="s">
        <v>130</v>
      </c>
      <c r="L1210" s="106"/>
      <c r="M1210" s="105" t="s">
        <v>2328</v>
      </c>
      <c r="N1210" s="106">
        <v>4</v>
      </c>
      <c r="O1210" s="107"/>
      <c r="P1210" s="27">
        <v>39.93</v>
      </c>
      <c r="Q1210" s="28">
        <f>data[[#This Row],[Costo Producto
Proveedor ($/Unid)]]*data[[#This Row],[Cantidad]]</f>
        <v>0</v>
      </c>
      <c r="R1210" s="28">
        <f>data[[#This Row],[Cantidad]]*data[[#This Row],[Precio de Venta Cliente ($/Unid)]]</f>
        <v>159.72</v>
      </c>
      <c r="S1210" s="29"/>
      <c r="T1210" s="109" t="s">
        <v>22</v>
      </c>
      <c r="U1210" s="109"/>
      <c r="V1210" s="30" t="s">
        <v>42</v>
      </c>
      <c r="W1210" s="32" t="s">
        <v>42</v>
      </c>
      <c r="X1210" s="106" t="s">
        <v>23</v>
      </c>
      <c r="Y1210" s="106" t="s">
        <v>23</v>
      </c>
      <c r="Z1210" s="106" t="s">
        <v>12</v>
      </c>
      <c r="AA1210" s="109"/>
    </row>
    <row r="1211" spans="2:27" s="105" customFormat="1" x14ac:dyDescent="0.25">
      <c r="B1211" s="192"/>
      <c r="C1211" s="192" t="str">
        <f>TEXT(data[[#This Row],[Fecha de Envío
Cotización]],"MMMM")</f>
        <v>junio</v>
      </c>
      <c r="D1211" s="192">
        <v>44358</v>
      </c>
      <c r="E1211" s="174" t="str">
        <f>IF(data[[#This Row],[Estatus de 
Cotización]]="PERDIDO","N/A","")</f>
        <v>N/A</v>
      </c>
      <c r="F1211" s="192"/>
      <c r="G1211" s="109"/>
      <c r="H1211" s="192"/>
      <c r="I1211" s="86"/>
      <c r="J1211" s="87" t="s">
        <v>2352</v>
      </c>
      <c r="K1211" s="110" t="s">
        <v>130</v>
      </c>
      <c r="L1211" s="106"/>
      <c r="M1211" s="105" t="s">
        <v>2329</v>
      </c>
      <c r="N1211" s="106">
        <v>8</v>
      </c>
      <c r="O1211" s="107"/>
      <c r="P1211" s="27">
        <v>26.53</v>
      </c>
      <c r="Q1211" s="28">
        <f>data[[#This Row],[Costo Producto
Proveedor ($/Unid)]]*data[[#This Row],[Cantidad]]</f>
        <v>0</v>
      </c>
      <c r="R1211" s="28">
        <f>data[[#This Row],[Cantidad]]*data[[#This Row],[Precio de Venta Cliente ($/Unid)]]</f>
        <v>212.24</v>
      </c>
      <c r="S1211" s="29"/>
      <c r="T1211" s="109" t="s">
        <v>134</v>
      </c>
      <c r="U1211" s="109"/>
      <c r="V1211" s="30" t="s">
        <v>42</v>
      </c>
      <c r="W1211" s="32" t="s">
        <v>42</v>
      </c>
      <c r="X1211" s="106" t="s">
        <v>23</v>
      </c>
      <c r="Y1211" s="106" t="s">
        <v>23</v>
      </c>
      <c r="Z1211" s="106" t="s">
        <v>12</v>
      </c>
      <c r="AA1211" s="109"/>
    </row>
    <row r="1212" spans="2:27" s="105" customFormat="1" x14ac:dyDescent="0.25">
      <c r="B1212" s="192"/>
      <c r="C1212" s="192" t="str">
        <f>TEXT(data[[#This Row],[Fecha de Envío
Cotización]],"MMMM")</f>
        <v>junio</v>
      </c>
      <c r="D1212" s="192">
        <v>44358</v>
      </c>
      <c r="E1212" s="174" t="str">
        <f>IF(data[[#This Row],[Estatus de 
Cotización]]="PERDIDO","N/A","")</f>
        <v>N/A</v>
      </c>
      <c r="F1212" s="192"/>
      <c r="G1212" s="109"/>
      <c r="H1212" s="192"/>
      <c r="I1212" s="86"/>
      <c r="J1212" s="87" t="s">
        <v>2352</v>
      </c>
      <c r="K1212" s="110" t="s">
        <v>130</v>
      </c>
      <c r="L1212" s="106"/>
      <c r="M1212" s="105" t="s">
        <v>2330</v>
      </c>
      <c r="N1212" s="106">
        <v>1</v>
      </c>
      <c r="O1212" s="107"/>
      <c r="P1212" s="27">
        <v>232.32</v>
      </c>
      <c r="Q1212" s="28">
        <f>data[[#This Row],[Costo Producto
Proveedor ($/Unid)]]*data[[#This Row],[Cantidad]]</f>
        <v>0</v>
      </c>
      <c r="R1212" s="28">
        <f>data[[#This Row],[Cantidad]]*data[[#This Row],[Precio de Venta Cliente ($/Unid)]]</f>
        <v>232.32</v>
      </c>
      <c r="S1212" s="29"/>
      <c r="T1212" s="109" t="s">
        <v>36</v>
      </c>
      <c r="U1212" s="109"/>
      <c r="V1212" s="30" t="s">
        <v>42</v>
      </c>
      <c r="W1212" s="32" t="s">
        <v>42</v>
      </c>
      <c r="X1212" s="106" t="s">
        <v>23</v>
      </c>
      <c r="Y1212" s="106" t="s">
        <v>23</v>
      </c>
      <c r="Z1212" s="106" t="s">
        <v>12</v>
      </c>
      <c r="AA1212" s="109"/>
    </row>
    <row r="1213" spans="2:27" s="105" customFormat="1" x14ac:dyDescent="0.25">
      <c r="B1213" s="192"/>
      <c r="C1213" s="192" t="str">
        <f>TEXT(data[[#This Row],[Fecha de Envío
Cotización]],"MMMM")</f>
        <v>junio</v>
      </c>
      <c r="D1213" s="192">
        <v>44358</v>
      </c>
      <c r="E1213" s="174" t="str">
        <f>IF(data[[#This Row],[Estatus de 
Cotización]]="PERDIDO","N/A","")</f>
        <v>N/A</v>
      </c>
      <c r="F1213" s="192"/>
      <c r="G1213" s="109"/>
      <c r="H1213" s="192"/>
      <c r="I1213" s="86"/>
      <c r="J1213" s="87" t="s">
        <v>2352</v>
      </c>
      <c r="K1213" s="110" t="s">
        <v>130</v>
      </c>
      <c r="L1213" s="106"/>
      <c r="M1213" s="105" t="s">
        <v>2331</v>
      </c>
      <c r="N1213" s="106">
        <v>1</v>
      </c>
      <c r="O1213" s="107"/>
      <c r="P1213" s="27">
        <v>115.32</v>
      </c>
      <c r="Q1213" s="28">
        <f>data[[#This Row],[Costo Producto
Proveedor ($/Unid)]]*data[[#This Row],[Cantidad]]</f>
        <v>0</v>
      </c>
      <c r="R1213" s="28">
        <f>data[[#This Row],[Cantidad]]*data[[#This Row],[Precio de Venta Cliente ($/Unid)]]</f>
        <v>115.32</v>
      </c>
      <c r="S1213" s="29"/>
      <c r="T1213" s="109" t="s">
        <v>36</v>
      </c>
      <c r="U1213" s="109"/>
      <c r="V1213" s="30" t="s">
        <v>42</v>
      </c>
      <c r="W1213" s="32" t="s">
        <v>42</v>
      </c>
      <c r="X1213" s="106" t="s">
        <v>23</v>
      </c>
      <c r="Y1213" s="106" t="s">
        <v>23</v>
      </c>
      <c r="Z1213" s="106" t="s">
        <v>12</v>
      </c>
      <c r="AA1213" s="109"/>
    </row>
    <row r="1214" spans="2:27" s="105" customFormat="1" x14ac:dyDescent="0.25">
      <c r="B1214" s="192"/>
      <c r="C1214" s="192" t="str">
        <f>TEXT(data[[#This Row],[Fecha de Envío
Cotización]],"MMMM")</f>
        <v>junio</v>
      </c>
      <c r="D1214" s="192">
        <v>44358</v>
      </c>
      <c r="E1214" s="174" t="str">
        <f>IF(data[[#This Row],[Estatus de 
Cotización]]="PERDIDO","N/A","")</f>
        <v>N/A</v>
      </c>
      <c r="F1214" s="192"/>
      <c r="G1214" s="109"/>
      <c r="H1214" s="192"/>
      <c r="I1214" s="86"/>
      <c r="J1214" s="87" t="s">
        <v>2352</v>
      </c>
      <c r="K1214" s="110" t="s">
        <v>130</v>
      </c>
      <c r="L1214" s="106"/>
      <c r="M1214" s="105" t="s">
        <v>2332</v>
      </c>
      <c r="N1214" s="106">
        <v>1</v>
      </c>
      <c r="O1214" s="107"/>
      <c r="P1214" s="27">
        <v>35</v>
      </c>
      <c r="Q1214" s="28">
        <f>data[[#This Row],[Costo Producto
Proveedor ($/Unid)]]*data[[#This Row],[Cantidad]]</f>
        <v>0</v>
      </c>
      <c r="R1214" s="28">
        <f>data[[#This Row],[Cantidad]]*data[[#This Row],[Precio de Venta Cliente ($/Unid)]]</f>
        <v>35</v>
      </c>
      <c r="S1214" s="29"/>
      <c r="T1214" s="109" t="s">
        <v>36</v>
      </c>
      <c r="U1214" s="109"/>
      <c r="V1214" s="30" t="s">
        <v>42</v>
      </c>
      <c r="W1214" s="32" t="s">
        <v>42</v>
      </c>
      <c r="X1214" s="106" t="s">
        <v>23</v>
      </c>
      <c r="Y1214" s="106" t="s">
        <v>23</v>
      </c>
      <c r="Z1214" s="106" t="s">
        <v>12</v>
      </c>
      <c r="AA1214" s="109"/>
    </row>
    <row r="1215" spans="2:27" s="105" customFormat="1" x14ac:dyDescent="0.25">
      <c r="B1215" s="192"/>
      <c r="C1215" s="192" t="str">
        <f>TEXT(data[[#This Row],[Fecha de Envío
Cotización]],"MMMM")</f>
        <v>junio</v>
      </c>
      <c r="D1215" s="192">
        <v>44358</v>
      </c>
      <c r="E1215" s="174" t="str">
        <f>IF(data[[#This Row],[Estatus de 
Cotización]]="PERDIDO","N/A","")</f>
        <v>N/A</v>
      </c>
      <c r="F1215" s="192"/>
      <c r="G1215" s="109"/>
      <c r="H1215" s="192"/>
      <c r="I1215" s="86"/>
      <c r="J1215" s="87" t="s">
        <v>2352</v>
      </c>
      <c r="K1215" s="110" t="s">
        <v>130</v>
      </c>
      <c r="L1215" s="106"/>
      <c r="M1215" s="105" t="s">
        <v>2333</v>
      </c>
      <c r="N1215" s="106">
        <v>4</v>
      </c>
      <c r="O1215" s="107"/>
      <c r="P1215" s="27">
        <v>269.64</v>
      </c>
      <c r="Q1215" s="28">
        <f>data[[#This Row],[Costo Producto
Proveedor ($/Unid)]]*data[[#This Row],[Cantidad]]</f>
        <v>0</v>
      </c>
      <c r="R1215" s="28">
        <f>data[[#This Row],[Cantidad]]*data[[#This Row],[Precio de Venta Cliente ($/Unid)]]</f>
        <v>1078.56</v>
      </c>
      <c r="S1215" s="29"/>
      <c r="T1215" s="109" t="s">
        <v>22</v>
      </c>
      <c r="U1215" s="109"/>
      <c r="V1215" s="30" t="s">
        <v>42</v>
      </c>
      <c r="W1215" s="32" t="s">
        <v>42</v>
      </c>
      <c r="X1215" s="106" t="s">
        <v>23</v>
      </c>
      <c r="Y1215" s="106" t="s">
        <v>23</v>
      </c>
      <c r="Z1215" s="106" t="s">
        <v>12</v>
      </c>
      <c r="AA1215" s="109"/>
    </row>
    <row r="1216" spans="2:27" s="105" customFormat="1" x14ac:dyDescent="0.25">
      <c r="B1216" s="192"/>
      <c r="C1216" s="192" t="str">
        <f>TEXT(data[[#This Row],[Fecha de Envío
Cotización]],"MMMM")</f>
        <v>junio</v>
      </c>
      <c r="D1216" s="192">
        <v>44358</v>
      </c>
      <c r="E1216" s="174" t="str">
        <f>IF(data[[#This Row],[Estatus de 
Cotización]]="PERDIDO","N/A","")</f>
        <v>N/A</v>
      </c>
      <c r="F1216" s="192"/>
      <c r="G1216" s="109"/>
      <c r="H1216" s="192"/>
      <c r="I1216" s="86"/>
      <c r="J1216" s="87" t="s">
        <v>2352</v>
      </c>
      <c r="K1216" s="110" t="s">
        <v>130</v>
      </c>
      <c r="L1216" s="106"/>
      <c r="M1216" s="105" t="s">
        <v>2334</v>
      </c>
      <c r="N1216" s="106">
        <v>22</v>
      </c>
      <c r="O1216" s="107"/>
      <c r="P1216" s="27">
        <v>72.38</v>
      </c>
      <c r="Q1216" s="28">
        <f>data[[#This Row],[Costo Producto
Proveedor ($/Unid)]]*data[[#This Row],[Cantidad]]</f>
        <v>0</v>
      </c>
      <c r="R1216" s="28">
        <f>data[[#This Row],[Cantidad]]*data[[#This Row],[Precio de Venta Cliente ($/Unid)]]</f>
        <v>1592.36</v>
      </c>
      <c r="S1216" s="29"/>
      <c r="T1216" s="109" t="s">
        <v>134</v>
      </c>
      <c r="U1216" s="109"/>
      <c r="V1216" s="30" t="s">
        <v>42</v>
      </c>
      <c r="W1216" s="32" t="s">
        <v>42</v>
      </c>
      <c r="X1216" s="106" t="s">
        <v>23</v>
      </c>
      <c r="Y1216" s="106" t="s">
        <v>23</v>
      </c>
      <c r="Z1216" s="106" t="s">
        <v>12</v>
      </c>
      <c r="AA1216" s="109"/>
    </row>
    <row r="1217" spans="2:27" s="105" customFormat="1" x14ac:dyDescent="0.25">
      <c r="B1217" s="192"/>
      <c r="C1217" s="192" t="str">
        <f>TEXT(data[[#This Row],[Fecha de Envío
Cotización]],"MMMM")</f>
        <v>junio</v>
      </c>
      <c r="D1217" s="192">
        <v>44358</v>
      </c>
      <c r="E1217" s="174" t="str">
        <f>IF(data[[#This Row],[Estatus de 
Cotización]]="PERDIDO","N/A","")</f>
        <v>N/A</v>
      </c>
      <c r="F1217" s="192"/>
      <c r="G1217" s="109"/>
      <c r="H1217" s="192"/>
      <c r="I1217" s="86"/>
      <c r="J1217" s="87" t="s">
        <v>2352</v>
      </c>
      <c r="K1217" s="110" t="s">
        <v>130</v>
      </c>
      <c r="L1217" s="106"/>
      <c r="M1217" s="105" t="s">
        <v>2335</v>
      </c>
      <c r="N1217" s="106">
        <v>5</v>
      </c>
      <c r="O1217" s="107"/>
      <c r="P1217" s="27">
        <v>20.59</v>
      </c>
      <c r="Q1217" s="28">
        <f>data[[#This Row],[Costo Producto
Proveedor ($/Unid)]]*data[[#This Row],[Cantidad]]</f>
        <v>0</v>
      </c>
      <c r="R1217" s="28">
        <f>data[[#This Row],[Cantidad]]*data[[#This Row],[Precio de Venta Cliente ($/Unid)]]</f>
        <v>102.95</v>
      </c>
      <c r="S1217" s="29"/>
      <c r="T1217" s="109" t="s">
        <v>134</v>
      </c>
      <c r="U1217" s="109"/>
      <c r="V1217" s="30" t="s">
        <v>42</v>
      </c>
      <c r="W1217" s="32" t="s">
        <v>42</v>
      </c>
      <c r="X1217" s="106" t="s">
        <v>23</v>
      </c>
      <c r="Y1217" s="106" t="s">
        <v>23</v>
      </c>
      <c r="Z1217" s="106" t="s">
        <v>12</v>
      </c>
      <c r="AA1217" s="109"/>
    </row>
    <row r="1218" spans="2:27" s="105" customFormat="1" x14ac:dyDescent="0.25">
      <c r="B1218" s="192"/>
      <c r="C1218" s="192" t="str">
        <f>TEXT(data[[#This Row],[Fecha de Envío
Cotización]],"MMMM")</f>
        <v>junio</v>
      </c>
      <c r="D1218" s="192">
        <v>44358</v>
      </c>
      <c r="E1218" s="174" t="str">
        <f>IF(data[[#This Row],[Estatus de 
Cotización]]="PERDIDO","N/A","")</f>
        <v>N/A</v>
      </c>
      <c r="F1218" s="192"/>
      <c r="G1218" s="109"/>
      <c r="H1218" s="192"/>
      <c r="I1218" s="86"/>
      <c r="J1218" s="87" t="s">
        <v>2352</v>
      </c>
      <c r="K1218" s="110" t="s">
        <v>130</v>
      </c>
      <c r="L1218" s="106"/>
      <c r="M1218" s="105" t="s">
        <v>2336</v>
      </c>
      <c r="N1218" s="106">
        <v>4</v>
      </c>
      <c r="O1218" s="107"/>
      <c r="P1218" s="27">
        <v>20.59</v>
      </c>
      <c r="Q1218" s="28">
        <f>data[[#This Row],[Costo Producto
Proveedor ($/Unid)]]*data[[#This Row],[Cantidad]]</f>
        <v>0</v>
      </c>
      <c r="R1218" s="28">
        <f>data[[#This Row],[Cantidad]]*data[[#This Row],[Precio de Venta Cliente ($/Unid)]]</f>
        <v>82.36</v>
      </c>
      <c r="S1218" s="29"/>
      <c r="T1218" s="109"/>
      <c r="U1218" s="109"/>
      <c r="V1218" s="30" t="s">
        <v>42</v>
      </c>
      <c r="W1218" s="32" t="s">
        <v>42</v>
      </c>
      <c r="X1218" s="106" t="s">
        <v>23</v>
      </c>
      <c r="Y1218" s="106" t="s">
        <v>23</v>
      </c>
      <c r="Z1218" s="106" t="s">
        <v>12</v>
      </c>
      <c r="AA1218" s="109"/>
    </row>
    <row r="1219" spans="2:27" s="105" customFormat="1" x14ac:dyDescent="0.25">
      <c r="B1219" s="192"/>
      <c r="C1219" s="192" t="str">
        <f>TEXT(data[[#This Row],[Fecha de Envío
Cotización]],"MMMM")</f>
        <v>junio</v>
      </c>
      <c r="D1219" s="192">
        <v>44358</v>
      </c>
      <c r="E1219" s="174" t="str">
        <f>IF(data[[#This Row],[Estatus de 
Cotización]]="PERDIDO","N/A","")</f>
        <v>N/A</v>
      </c>
      <c r="F1219" s="192"/>
      <c r="G1219" s="109"/>
      <c r="H1219" s="192"/>
      <c r="I1219" s="86"/>
      <c r="J1219" s="87" t="s">
        <v>2352</v>
      </c>
      <c r="K1219" s="110" t="s">
        <v>130</v>
      </c>
      <c r="L1219" s="106"/>
      <c r="M1219" s="105" t="s">
        <v>2337</v>
      </c>
      <c r="N1219" s="106">
        <v>5</v>
      </c>
      <c r="O1219" s="107"/>
      <c r="P1219" s="27">
        <v>238.27</v>
      </c>
      <c r="Q1219" s="28">
        <f>data[[#This Row],[Costo Producto
Proveedor ($/Unid)]]*data[[#This Row],[Cantidad]]</f>
        <v>0</v>
      </c>
      <c r="R1219" s="28">
        <f>data[[#This Row],[Cantidad]]*data[[#This Row],[Precio de Venta Cliente ($/Unid)]]</f>
        <v>1191.3500000000001</v>
      </c>
      <c r="S1219" s="29"/>
      <c r="T1219" s="109" t="s">
        <v>2357</v>
      </c>
      <c r="U1219" s="109"/>
      <c r="V1219" s="30" t="s">
        <v>42</v>
      </c>
      <c r="W1219" s="32" t="s">
        <v>42</v>
      </c>
      <c r="X1219" s="106" t="s">
        <v>23</v>
      </c>
      <c r="Y1219" s="106" t="s">
        <v>23</v>
      </c>
      <c r="Z1219" s="106" t="s">
        <v>12</v>
      </c>
      <c r="AA1219" s="109"/>
    </row>
    <row r="1220" spans="2:27" s="105" customFormat="1" x14ac:dyDescent="0.25">
      <c r="B1220" s="192"/>
      <c r="C1220" s="192" t="str">
        <f>TEXT(data[[#This Row],[Fecha de Envío
Cotización]],"MMMM")</f>
        <v>junio</v>
      </c>
      <c r="D1220" s="192">
        <v>44358</v>
      </c>
      <c r="E1220" s="174" t="str">
        <f>IF(data[[#This Row],[Estatus de 
Cotización]]="PERDIDO","N/A","")</f>
        <v>N/A</v>
      </c>
      <c r="F1220" s="192"/>
      <c r="G1220" s="109"/>
      <c r="H1220" s="192"/>
      <c r="I1220" s="86"/>
      <c r="J1220" s="87" t="s">
        <v>2352</v>
      </c>
      <c r="K1220" s="110" t="s">
        <v>130</v>
      </c>
      <c r="L1220" s="106"/>
      <c r="M1220" s="105" t="s">
        <v>2338</v>
      </c>
      <c r="N1220" s="106">
        <v>2</v>
      </c>
      <c r="O1220" s="107"/>
      <c r="P1220" s="27">
        <v>49.11</v>
      </c>
      <c r="Q1220" s="28">
        <f>data[[#This Row],[Costo Producto
Proveedor ($/Unid)]]*data[[#This Row],[Cantidad]]</f>
        <v>0</v>
      </c>
      <c r="R1220" s="28">
        <f>data[[#This Row],[Cantidad]]*data[[#This Row],[Precio de Venta Cliente ($/Unid)]]</f>
        <v>98.22</v>
      </c>
      <c r="S1220" s="29"/>
      <c r="T1220" s="109" t="s">
        <v>36</v>
      </c>
      <c r="U1220" s="109"/>
      <c r="V1220" s="30" t="s">
        <v>42</v>
      </c>
      <c r="W1220" s="32" t="s">
        <v>42</v>
      </c>
      <c r="X1220" s="106" t="s">
        <v>23</v>
      </c>
      <c r="Y1220" s="106" t="s">
        <v>23</v>
      </c>
      <c r="Z1220" s="106" t="s">
        <v>12</v>
      </c>
      <c r="AA1220" s="109"/>
    </row>
    <row r="1221" spans="2:27" s="105" customFormat="1" x14ac:dyDescent="0.25">
      <c r="B1221" s="192"/>
      <c r="C1221" s="192" t="str">
        <f>TEXT(data[[#This Row],[Fecha de Envío
Cotización]],"MMMM")</f>
        <v>junio</v>
      </c>
      <c r="D1221" s="192">
        <v>44358</v>
      </c>
      <c r="E1221" s="174">
        <v>44369</v>
      </c>
      <c r="F1221" s="192"/>
      <c r="G1221" s="109">
        <v>21000884</v>
      </c>
      <c r="H1221" s="192">
        <v>44369</v>
      </c>
      <c r="I1221" s="86"/>
      <c r="J1221" s="87" t="s">
        <v>2352</v>
      </c>
      <c r="K1221" s="110" t="s">
        <v>130</v>
      </c>
      <c r="L1221" s="106"/>
      <c r="M1221" s="105" t="s">
        <v>2339</v>
      </c>
      <c r="N1221" s="106">
        <v>4</v>
      </c>
      <c r="O1221" s="107"/>
      <c r="P1221" s="27">
        <v>41.23</v>
      </c>
      <c r="Q1221" s="28">
        <f>data[[#This Row],[Costo Producto
Proveedor ($/Unid)]]*data[[#This Row],[Cantidad]]</f>
        <v>0</v>
      </c>
      <c r="R1221" s="28">
        <f>data[[#This Row],[Cantidad]]*data[[#This Row],[Precio de Venta Cliente ($/Unid)]]</f>
        <v>164.92</v>
      </c>
      <c r="S1221" s="29"/>
      <c r="T1221" s="109" t="s">
        <v>2357</v>
      </c>
      <c r="U1221" s="109"/>
      <c r="V1221" s="30" t="s">
        <v>44</v>
      </c>
      <c r="W1221" s="32" t="s">
        <v>44</v>
      </c>
      <c r="X1221" s="106" t="s">
        <v>503</v>
      </c>
      <c r="Y1221" s="106" t="s">
        <v>503</v>
      </c>
      <c r="Z1221" s="106" t="s">
        <v>12</v>
      </c>
      <c r="AA1221" s="109"/>
    </row>
    <row r="1222" spans="2:27" s="105" customFormat="1" x14ac:dyDescent="0.25">
      <c r="B1222" s="192"/>
      <c r="C1222" s="192" t="str">
        <f>TEXT(data[[#This Row],[Fecha de Envío
Cotización]],"MMMM")</f>
        <v>junio</v>
      </c>
      <c r="D1222" s="192">
        <v>44358</v>
      </c>
      <c r="E1222" s="174" t="str">
        <f>IF(data[[#This Row],[Estatus de 
Cotización]]="PERDIDO","N/A","")</f>
        <v>N/A</v>
      </c>
      <c r="F1222" s="192"/>
      <c r="G1222" s="109"/>
      <c r="H1222" s="192"/>
      <c r="I1222" s="86"/>
      <c r="J1222" s="87" t="s">
        <v>2352</v>
      </c>
      <c r="K1222" s="110" t="s">
        <v>130</v>
      </c>
      <c r="L1222" s="106"/>
      <c r="M1222" s="105" t="s">
        <v>2340</v>
      </c>
      <c r="N1222" s="106">
        <v>2</v>
      </c>
      <c r="O1222" s="107"/>
      <c r="P1222" s="27">
        <v>25</v>
      </c>
      <c r="Q1222" s="28">
        <f>data[[#This Row],[Costo Producto
Proveedor ($/Unid)]]*data[[#This Row],[Cantidad]]</f>
        <v>0</v>
      </c>
      <c r="R1222" s="28">
        <f>data[[#This Row],[Cantidad]]*data[[#This Row],[Precio de Venta Cliente ($/Unid)]]</f>
        <v>50</v>
      </c>
      <c r="S1222" s="29"/>
      <c r="T1222" s="109" t="s">
        <v>36</v>
      </c>
      <c r="U1222" s="109"/>
      <c r="V1222" s="30" t="s">
        <v>42</v>
      </c>
      <c r="W1222" s="32" t="s">
        <v>42</v>
      </c>
      <c r="X1222" s="106" t="s">
        <v>23</v>
      </c>
      <c r="Y1222" s="106" t="s">
        <v>23</v>
      </c>
      <c r="Z1222" s="106" t="s">
        <v>12</v>
      </c>
      <c r="AA1222" s="109"/>
    </row>
    <row r="1223" spans="2:27" s="105" customFormat="1" x14ac:dyDescent="0.25">
      <c r="B1223" s="192"/>
      <c r="C1223" s="192" t="str">
        <f>TEXT(data[[#This Row],[Fecha de Envío
Cotización]],"MMMM")</f>
        <v>junio</v>
      </c>
      <c r="D1223" s="192">
        <v>44358</v>
      </c>
      <c r="E1223" s="174">
        <v>44369</v>
      </c>
      <c r="F1223" s="192"/>
      <c r="G1223" s="109">
        <v>21000884</v>
      </c>
      <c r="H1223" s="192">
        <v>44369</v>
      </c>
      <c r="I1223" s="86"/>
      <c r="J1223" s="87" t="s">
        <v>2352</v>
      </c>
      <c r="K1223" s="110" t="s">
        <v>130</v>
      </c>
      <c r="L1223" s="106"/>
      <c r="M1223" s="105" t="s">
        <v>2341</v>
      </c>
      <c r="N1223" s="106">
        <v>5</v>
      </c>
      <c r="O1223" s="107"/>
      <c r="P1223" s="27">
        <v>31.8</v>
      </c>
      <c r="Q1223" s="28">
        <f>data[[#This Row],[Costo Producto
Proveedor ($/Unid)]]*data[[#This Row],[Cantidad]]</f>
        <v>0</v>
      </c>
      <c r="R1223" s="28">
        <f>data[[#This Row],[Cantidad]]*data[[#This Row],[Precio de Venta Cliente ($/Unid)]]</f>
        <v>159</v>
      </c>
      <c r="S1223" s="29"/>
      <c r="T1223" s="109" t="s">
        <v>134</v>
      </c>
      <c r="U1223" s="109"/>
      <c r="V1223" s="30" t="s">
        <v>44</v>
      </c>
      <c r="W1223" s="32" t="s">
        <v>44</v>
      </c>
      <c r="X1223" s="106" t="s">
        <v>503</v>
      </c>
      <c r="Y1223" s="106" t="s">
        <v>503</v>
      </c>
      <c r="Z1223" s="106" t="s">
        <v>12</v>
      </c>
      <c r="AA1223" s="109" t="s">
        <v>2355</v>
      </c>
    </row>
    <row r="1224" spans="2:27" s="105" customFormat="1" x14ac:dyDescent="0.25">
      <c r="B1224" s="192"/>
      <c r="C1224" s="192" t="str">
        <f>TEXT(data[[#This Row],[Fecha de Envío
Cotización]],"MMMM")</f>
        <v>junio</v>
      </c>
      <c r="D1224" s="192">
        <v>44358</v>
      </c>
      <c r="E1224" s="174">
        <v>44369</v>
      </c>
      <c r="F1224" s="192"/>
      <c r="G1224" s="109">
        <v>21000884</v>
      </c>
      <c r="H1224" s="192">
        <v>44369</v>
      </c>
      <c r="I1224" s="86"/>
      <c r="J1224" s="87" t="s">
        <v>2352</v>
      </c>
      <c r="K1224" s="110" t="s">
        <v>130</v>
      </c>
      <c r="L1224" s="106"/>
      <c r="M1224" s="105" t="s">
        <v>2342</v>
      </c>
      <c r="N1224" s="106">
        <v>6</v>
      </c>
      <c r="O1224" s="107"/>
      <c r="P1224" s="27">
        <v>31.8</v>
      </c>
      <c r="Q1224" s="28">
        <f>data[[#This Row],[Costo Producto
Proveedor ($/Unid)]]*data[[#This Row],[Cantidad]]</f>
        <v>0</v>
      </c>
      <c r="R1224" s="28">
        <f>data[[#This Row],[Cantidad]]*data[[#This Row],[Precio de Venta Cliente ($/Unid)]]</f>
        <v>190.8</v>
      </c>
      <c r="S1224" s="29"/>
      <c r="T1224" s="109" t="s">
        <v>134</v>
      </c>
      <c r="U1224" s="109"/>
      <c r="V1224" s="30" t="s">
        <v>44</v>
      </c>
      <c r="W1224" s="32" t="s">
        <v>44</v>
      </c>
      <c r="X1224" s="106" t="s">
        <v>503</v>
      </c>
      <c r="Y1224" s="106" t="s">
        <v>503</v>
      </c>
      <c r="Z1224" s="106" t="s">
        <v>12</v>
      </c>
      <c r="AA1224" s="109" t="s">
        <v>2353</v>
      </c>
    </row>
    <row r="1225" spans="2:27" s="105" customFormat="1" x14ac:dyDescent="0.25">
      <c r="B1225" s="192"/>
      <c r="C1225" s="192" t="str">
        <f>TEXT(data[[#This Row],[Fecha de Envío
Cotización]],"MMMM")</f>
        <v>junio</v>
      </c>
      <c r="D1225" s="192">
        <v>44358</v>
      </c>
      <c r="E1225" s="174">
        <v>44369</v>
      </c>
      <c r="F1225" s="192"/>
      <c r="G1225" s="109">
        <v>21000884</v>
      </c>
      <c r="H1225" s="192">
        <v>44369</v>
      </c>
      <c r="I1225" s="86"/>
      <c r="J1225" s="87" t="s">
        <v>2352</v>
      </c>
      <c r="K1225" s="110" t="s">
        <v>130</v>
      </c>
      <c r="L1225" s="106"/>
      <c r="M1225" s="105" t="s">
        <v>2343</v>
      </c>
      <c r="N1225" s="106">
        <v>1</v>
      </c>
      <c r="O1225" s="107"/>
      <c r="P1225" s="27">
        <v>65</v>
      </c>
      <c r="Q1225" s="28">
        <f>data[[#This Row],[Costo Producto
Proveedor ($/Unid)]]*data[[#This Row],[Cantidad]]</f>
        <v>0</v>
      </c>
      <c r="R1225" s="28">
        <f>data[[#This Row],[Cantidad]]*data[[#This Row],[Precio de Venta Cliente ($/Unid)]]</f>
        <v>65</v>
      </c>
      <c r="S1225" s="29"/>
      <c r="T1225" s="109" t="s">
        <v>134</v>
      </c>
      <c r="U1225" s="109"/>
      <c r="V1225" s="30" t="s">
        <v>44</v>
      </c>
      <c r="W1225" s="32" t="s">
        <v>44</v>
      </c>
      <c r="X1225" s="106" t="s">
        <v>503</v>
      </c>
      <c r="Y1225" s="106" t="s">
        <v>503</v>
      </c>
      <c r="Z1225" s="106" t="s">
        <v>12</v>
      </c>
      <c r="AA1225" s="109"/>
    </row>
    <row r="1226" spans="2:27" s="105" customFormat="1" x14ac:dyDescent="0.25">
      <c r="B1226" s="192"/>
      <c r="C1226" s="192" t="str">
        <f>TEXT(data[[#This Row],[Fecha de Envío
Cotización]],"MMMM")</f>
        <v>junio</v>
      </c>
      <c r="D1226" s="192">
        <v>44358</v>
      </c>
      <c r="E1226" s="174" t="str">
        <f>IF(data[[#This Row],[Estatus de 
Cotización]]="PERDIDO","N/A","")</f>
        <v>N/A</v>
      </c>
      <c r="F1226" s="192"/>
      <c r="G1226" s="109"/>
      <c r="H1226" s="192"/>
      <c r="I1226" s="86"/>
      <c r="J1226" s="87" t="s">
        <v>2352</v>
      </c>
      <c r="K1226" s="110" t="s">
        <v>130</v>
      </c>
      <c r="L1226" s="106"/>
      <c r="M1226" s="105" t="s">
        <v>2344</v>
      </c>
      <c r="N1226" s="106">
        <v>3</v>
      </c>
      <c r="O1226" s="107"/>
      <c r="P1226" s="27">
        <v>174.24</v>
      </c>
      <c r="Q1226" s="28">
        <f>data[[#This Row],[Costo Producto
Proveedor ($/Unid)]]*data[[#This Row],[Cantidad]]</f>
        <v>0</v>
      </c>
      <c r="R1226" s="28">
        <f>data[[#This Row],[Cantidad]]*data[[#This Row],[Precio de Venta Cliente ($/Unid)]]</f>
        <v>522.72</v>
      </c>
      <c r="S1226" s="29"/>
      <c r="T1226" s="109" t="s">
        <v>73</v>
      </c>
      <c r="U1226" s="109"/>
      <c r="V1226" s="30" t="s">
        <v>42</v>
      </c>
      <c r="W1226" s="32" t="s">
        <v>42</v>
      </c>
      <c r="X1226" s="106" t="s">
        <v>23</v>
      </c>
      <c r="Y1226" s="106" t="s">
        <v>23</v>
      </c>
      <c r="Z1226" s="106" t="s">
        <v>12</v>
      </c>
      <c r="AA1226" s="109"/>
    </row>
    <row r="1227" spans="2:27" s="105" customFormat="1" x14ac:dyDescent="0.25">
      <c r="B1227" s="192"/>
      <c r="C1227" s="192" t="str">
        <f>TEXT(data[[#This Row],[Fecha de Envío
Cotización]],"MMMM")</f>
        <v>junio</v>
      </c>
      <c r="D1227" s="192">
        <v>44358</v>
      </c>
      <c r="E1227" s="174" t="str">
        <f>IF(data[[#This Row],[Estatus de 
Cotización]]="PERDIDO","N/A","")</f>
        <v>N/A</v>
      </c>
      <c r="F1227" s="192"/>
      <c r="G1227" s="109"/>
      <c r="H1227" s="192"/>
      <c r="I1227" s="86"/>
      <c r="J1227" s="87" t="s">
        <v>2352</v>
      </c>
      <c r="K1227" s="110" t="s">
        <v>130</v>
      </c>
      <c r="L1227" s="106"/>
      <c r="M1227" s="105" t="s">
        <v>2345</v>
      </c>
      <c r="N1227" s="106">
        <v>4</v>
      </c>
      <c r="O1227" s="107"/>
      <c r="P1227" s="27">
        <v>71.28</v>
      </c>
      <c r="Q1227" s="28">
        <f>data[[#This Row],[Costo Producto
Proveedor ($/Unid)]]*data[[#This Row],[Cantidad]]</f>
        <v>0</v>
      </c>
      <c r="R1227" s="28">
        <f>data[[#This Row],[Cantidad]]*data[[#This Row],[Precio de Venta Cliente ($/Unid)]]</f>
        <v>285.12</v>
      </c>
      <c r="S1227" s="29"/>
      <c r="T1227" s="109" t="s">
        <v>119</v>
      </c>
      <c r="U1227" s="109"/>
      <c r="V1227" s="30" t="s">
        <v>42</v>
      </c>
      <c r="W1227" s="32" t="s">
        <v>42</v>
      </c>
      <c r="X1227" s="106" t="s">
        <v>23</v>
      </c>
      <c r="Y1227" s="106" t="s">
        <v>23</v>
      </c>
      <c r="Z1227" s="106" t="s">
        <v>12</v>
      </c>
      <c r="AA1227" s="109"/>
    </row>
    <row r="1228" spans="2:27" s="105" customFormat="1" x14ac:dyDescent="0.25">
      <c r="B1228" s="192"/>
      <c r="C1228" s="192" t="str">
        <f>TEXT(data[[#This Row],[Fecha de Envío
Cotización]],"MMMM")</f>
        <v>junio</v>
      </c>
      <c r="D1228" s="192">
        <v>44358</v>
      </c>
      <c r="E1228" s="174" t="str">
        <f>IF(data[[#This Row],[Estatus de 
Cotización]]="PERDIDO","N/A","")</f>
        <v>N/A</v>
      </c>
      <c r="F1228" s="192"/>
      <c r="G1228" s="109"/>
      <c r="H1228" s="192"/>
      <c r="I1228" s="86"/>
      <c r="J1228" s="87" t="s">
        <v>2352</v>
      </c>
      <c r="K1228" s="110" t="s">
        <v>130</v>
      </c>
      <c r="L1228" s="106"/>
      <c r="M1228" s="105" t="s">
        <v>2346</v>
      </c>
      <c r="N1228" s="106">
        <v>5</v>
      </c>
      <c r="O1228" s="107"/>
      <c r="P1228" s="27">
        <v>22</v>
      </c>
      <c r="Q1228" s="28">
        <f>data[[#This Row],[Costo Producto
Proveedor ($/Unid)]]*data[[#This Row],[Cantidad]]</f>
        <v>0</v>
      </c>
      <c r="R1228" s="28">
        <f>data[[#This Row],[Cantidad]]*data[[#This Row],[Precio de Venta Cliente ($/Unid)]]</f>
        <v>110</v>
      </c>
      <c r="S1228" s="29"/>
      <c r="T1228" s="109" t="s">
        <v>119</v>
      </c>
      <c r="U1228" s="109"/>
      <c r="V1228" s="30" t="s">
        <v>42</v>
      </c>
      <c r="W1228" s="32" t="s">
        <v>42</v>
      </c>
      <c r="X1228" s="106" t="s">
        <v>23</v>
      </c>
      <c r="Y1228" s="106" t="s">
        <v>23</v>
      </c>
      <c r="Z1228" s="106" t="s">
        <v>12</v>
      </c>
      <c r="AA1228" s="109"/>
    </row>
    <row r="1229" spans="2:27" s="105" customFormat="1" x14ac:dyDescent="0.25">
      <c r="B1229" s="192"/>
      <c r="C1229" s="192" t="str">
        <f>TEXT(data[[#This Row],[Fecha de Envío
Cotización]],"MMMM")</f>
        <v>junio</v>
      </c>
      <c r="D1229" s="192">
        <v>44358</v>
      </c>
      <c r="E1229" s="174">
        <v>44369</v>
      </c>
      <c r="F1229" s="192"/>
      <c r="G1229" s="109">
        <v>21000884</v>
      </c>
      <c r="H1229" s="192">
        <v>44369</v>
      </c>
      <c r="I1229" s="86"/>
      <c r="J1229" s="87" t="s">
        <v>2352</v>
      </c>
      <c r="K1229" s="110" t="s">
        <v>130</v>
      </c>
      <c r="L1229" s="106"/>
      <c r="M1229" s="105" t="s">
        <v>2347</v>
      </c>
      <c r="N1229" s="106">
        <v>3</v>
      </c>
      <c r="O1229" s="107"/>
      <c r="P1229" s="27">
        <v>35</v>
      </c>
      <c r="Q1229" s="28">
        <f>data[[#This Row],[Costo Producto
Proveedor ($/Unid)]]*data[[#This Row],[Cantidad]]</f>
        <v>0</v>
      </c>
      <c r="R1229" s="28">
        <f>data[[#This Row],[Cantidad]]*data[[#This Row],[Precio de Venta Cliente ($/Unid)]]</f>
        <v>105</v>
      </c>
      <c r="S1229" s="29"/>
      <c r="T1229" s="109" t="s">
        <v>134</v>
      </c>
      <c r="U1229" s="109"/>
      <c r="V1229" s="30" t="s">
        <v>44</v>
      </c>
      <c r="W1229" s="32" t="s">
        <v>44</v>
      </c>
      <c r="X1229" s="106" t="s">
        <v>503</v>
      </c>
      <c r="Y1229" s="106" t="s">
        <v>503</v>
      </c>
      <c r="Z1229" s="106" t="s">
        <v>12</v>
      </c>
      <c r="AA1229" s="109" t="s">
        <v>2354</v>
      </c>
    </row>
    <row r="1230" spans="2:27" s="105" customFormat="1" x14ac:dyDescent="0.25">
      <c r="B1230" s="192"/>
      <c r="C1230" s="192" t="str">
        <f>TEXT(data[[#This Row],[Fecha de Envío
Cotización]],"MMMM")</f>
        <v>junio</v>
      </c>
      <c r="D1230" s="192">
        <v>44358</v>
      </c>
      <c r="E1230" s="174" t="str">
        <f>IF(data[[#This Row],[Estatus de 
Cotización]]="PERDIDO","N/A","")</f>
        <v>N/A</v>
      </c>
      <c r="F1230" s="192"/>
      <c r="G1230" s="109"/>
      <c r="H1230" s="192"/>
      <c r="I1230" s="86"/>
      <c r="J1230" s="87" t="s">
        <v>2352</v>
      </c>
      <c r="K1230" s="110" t="s">
        <v>130</v>
      </c>
      <c r="L1230" s="106"/>
      <c r="M1230" s="105" t="s">
        <v>2348</v>
      </c>
      <c r="N1230" s="106">
        <v>5</v>
      </c>
      <c r="O1230" s="107"/>
      <c r="P1230" s="27">
        <v>22</v>
      </c>
      <c r="Q1230" s="28">
        <f>data[[#This Row],[Costo Producto
Proveedor ($/Unid)]]*data[[#This Row],[Cantidad]]</f>
        <v>0</v>
      </c>
      <c r="R1230" s="28">
        <f>data[[#This Row],[Cantidad]]*data[[#This Row],[Precio de Venta Cliente ($/Unid)]]</f>
        <v>110</v>
      </c>
      <c r="S1230" s="29"/>
      <c r="T1230" s="109" t="s">
        <v>119</v>
      </c>
      <c r="U1230" s="109"/>
      <c r="V1230" s="30" t="s">
        <v>42</v>
      </c>
      <c r="W1230" s="32" t="s">
        <v>42</v>
      </c>
      <c r="X1230" s="106" t="s">
        <v>23</v>
      </c>
      <c r="Y1230" s="106" t="s">
        <v>23</v>
      </c>
      <c r="Z1230" s="106" t="s">
        <v>12</v>
      </c>
      <c r="AA1230" s="109"/>
    </row>
    <row r="1231" spans="2:27" s="105" customFormat="1" x14ac:dyDescent="0.25">
      <c r="B1231" s="192"/>
      <c r="C1231" s="192" t="str">
        <f>TEXT(data[[#This Row],[Fecha de Envío
Cotización]],"MMMM")</f>
        <v>junio</v>
      </c>
      <c r="D1231" s="192">
        <v>44358</v>
      </c>
      <c r="E1231" s="174" t="str">
        <f>IF(data[[#This Row],[Estatus de 
Cotización]]="PERDIDO","N/A","")</f>
        <v>N/A</v>
      </c>
      <c r="F1231" s="192"/>
      <c r="G1231" s="109"/>
      <c r="H1231" s="192"/>
      <c r="I1231" s="86"/>
      <c r="J1231" s="87" t="s">
        <v>2352</v>
      </c>
      <c r="K1231" s="110" t="s">
        <v>130</v>
      </c>
      <c r="L1231" s="106"/>
      <c r="M1231" s="105" t="s">
        <v>2349</v>
      </c>
      <c r="N1231" s="106">
        <v>6</v>
      </c>
      <c r="O1231" s="107"/>
      <c r="P1231" s="27">
        <v>237.89</v>
      </c>
      <c r="Q1231" s="28">
        <f>data[[#This Row],[Costo Producto
Proveedor ($/Unid)]]*data[[#This Row],[Cantidad]]</f>
        <v>0</v>
      </c>
      <c r="R1231" s="28">
        <f>data[[#This Row],[Cantidad]]*data[[#This Row],[Precio de Venta Cliente ($/Unid)]]</f>
        <v>1427.34</v>
      </c>
      <c r="S1231" s="29"/>
      <c r="T1231" s="109" t="s">
        <v>134</v>
      </c>
      <c r="U1231" s="109"/>
      <c r="V1231" s="30" t="s">
        <v>42</v>
      </c>
      <c r="W1231" s="32" t="s">
        <v>42</v>
      </c>
      <c r="X1231" s="106" t="s">
        <v>23</v>
      </c>
      <c r="Y1231" s="106" t="s">
        <v>23</v>
      </c>
      <c r="Z1231" s="106" t="s">
        <v>12</v>
      </c>
      <c r="AA1231" s="109"/>
    </row>
    <row r="1232" spans="2:27" s="105" customFormat="1" x14ac:dyDescent="0.25">
      <c r="B1232" s="192"/>
      <c r="C1232" s="192" t="str">
        <f>TEXT(data[[#This Row],[Fecha de Envío
Cotización]],"MMMM")</f>
        <v>junio</v>
      </c>
      <c r="D1232" s="192">
        <v>44358</v>
      </c>
      <c r="E1232" s="174" t="str">
        <f>IF(data[[#This Row],[Estatus de 
Cotización]]="PERDIDO","N/A","")</f>
        <v>N/A</v>
      </c>
      <c r="F1232" s="192"/>
      <c r="G1232" s="109"/>
      <c r="H1232" s="192"/>
      <c r="I1232" s="86"/>
      <c r="J1232" s="87" t="s">
        <v>2352</v>
      </c>
      <c r="K1232" s="110" t="s">
        <v>130</v>
      </c>
      <c r="L1232" s="106"/>
      <c r="M1232" s="105" t="s">
        <v>2350</v>
      </c>
      <c r="N1232" s="106">
        <v>2</v>
      </c>
      <c r="O1232" s="107"/>
      <c r="P1232" s="27">
        <v>78.81</v>
      </c>
      <c r="Q1232" s="28">
        <f>data[[#This Row],[Costo Producto
Proveedor ($/Unid)]]*data[[#This Row],[Cantidad]]</f>
        <v>0</v>
      </c>
      <c r="R1232" s="28">
        <f>data[[#This Row],[Cantidad]]*data[[#This Row],[Precio de Venta Cliente ($/Unid)]]</f>
        <v>157.62</v>
      </c>
      <c r="S1232" s="29"/>
      <c r="T1232" s="109" t="s">
        <v>51</v>
      </c>
      <c r="U1232" s="109"/>
      <c r="V1232" s="30" t="s">
        <v>42</v>
      </c>
      <c r="W1232" s="32" t="s">
        <v>42</v>
      </c>
      <c r="X1232" s="106" t="s">
        <v>23</v>
      </c>
      <c r="Y1232" s="106" t="s">
        <v>23</v>
      </c>
      <c r="Z1232" s="106" t="s">
        <v>12</v>
      </c>
      <c r="AA1232" s="109"/>
    </row>
    <row r="1233" spans="2:27" s="105" customFormat="1" x14ac:dyDescent="0.25">
      <c r="B1233" s="192"/>
      <c r="C1233" s="192" t="str">
        <f>TEXT(data[[#This Row],[Fecha de Envío
Cotización]],"MMMM")</f>
        <v>junio</v>
      </c>
      <c r="D1233" s="192">
        <v>44358</v>
      </c>
      <c r="E1233" s="174" t="str">
        <f>IF(data[[#This Row],[Estatus de 
Cotización]]="PERDIDO","N/A","")</f>
        <v>N/A</v>
      </c>
      <c r="F1233" s="192"/>
      <c r="G1233" s="109"/>
      <c r="H1233" s="192"/>
      <c r="I1233" s="86"/>
      <c r="J1233" s="87" t="s">
        <v>2352</v>
      </c>
      <c r="K1233" s="110" t="s">
        <v>130</v>
      </c>
      <c r="L1233" s="106"/>
      <c r="M1233" s="105" t="s">
        <v>2351</v>
      </c>
      <c r="N1233" s="106">
        <v>1</v>
      </c>
      <c r="O1233" s="107"/>
      <c r="P1233" s="27">
        <v>488.22</v>
      </c>
      <c r="Q1233" s="28">
        <f>data[[#This Row],[Costo Producto
Proveedor ($/Unid)]]*data[[#This Row],[Cantidad]]</f>
        <v>0</v>
      </c>
      <c r="R1233" s="28">
        <f>data[[#This Row],[Cantidad]]*data[[#This Row],[Precio de Venta Cliente ($/Unid)]]</f>
        <v>488.22</v>
      </c>
      <c r="S1233" s="29"/>
      <c r="T1233" s="109" t="s">
        <v>134</v>
      </c>
      <c r="U1233" s="109"/>
      <c r="V1233" s="30" t="s">
        <v>42</v>
      </c>
      <c r="W1233" s="32" t="s">
        <v>42</v>
      </c>
      <c r="X1233" s="106" t="s">
        <v>23</v>
      </c>
      <c r="Y1233" s="106" t="s">
        <v>23</v>
      </c>
      <c r="Z1233" s="106" t="s">
        <v>12</v>
      </c>
      <c r="AA1233" s="109"/>
    </row>
    <row r="1234" spans="2:27" x14ac:dyDescent="0.25">
      <c r="B1234" s="192"/>
      <c r="C1234" s="192" t="str">
        <f>TEXT(data[[#This Row],[Fecha de Envío
Cotización]],"MMMM")</f>
        <v>junio</v>
      </c>
      <c r="D1234" s="192">
        <v>44361</v>
      </c>
      <c r="E1234" s="192"/>
      <c r="F1234" s="192"/>
      <c r="G1234" s="109"/>
      <c r="H1234" s="192"/>
      <c r="I1234" s="86" t="s">
        <v>2056</v>
      </c>
      <c r="J1234" s="87">
        <v>770</v>
      </c>
      <c r="K1234" s="110" t="s">
        <v>1476</v>
      </c>
      <c r="L1234" s="106"/>
      <c r="M1234" t="s">
        <v>2060</v>
      </c>
      <c r="N1234" s="106">
        <v>1</v>
      </c>
      <c r="O1234" s="107"/>
      <c r="P1234" s="27">
        <v>576.22</v>
      </c>
      <c r="Q1234" s="28">
        <f>data[[#This Row],[Costo Producto
Proveedor ($/Unid)]]*data[[#This Row],[Cantidad]]</f>
        <v>0</v>
      </c>
      <c r="R1234" s="28">
        <f>data[[#This Row],[Cantidad]]*data[[#This Row],[Precio de Venta Cliente ($/Unid)]]</f>
        <v>576.22</v>
      </c>
      <c r="S1234" s="29"/>
      <c r="T1234" s="109" t="s">
        <v>119</v>
      </c>
      <c r="U1234" s="109"/>
      <c r="V1234" s="30" t="s">
        <v>46</v>
      </c>
      <c r="W1234" s="32" t="s">
        <v>46</v>
      </c>
      <c r="X1234" s="106" t="s">
        <v>503</v>
      </c>
      <c r="Y1234" s="106" t="s">
        <v>503</v>
      </c>
      <c r="Z1234" s="106" t="s">
        <v>12</v>
      </c>
      <c r="AA1234" s="109"/>
    </row>
    <row r="1235" spans="2:27" x14ac:dyDescent="0.25">
      <c r="B1235" s="192"/>
      <c r="C1235" s="192" t="str">
        <f>TEXT(data[[#This Row],[Fecha de Envío
Cotización]],"MMMM")</f>
        <v>junio</v>
      </c>
      <c r="D1235" s="192">
        <v>44361</v>
      </c>
      <c r="E1235" s="192"/>
      <c r="F1235" s="192"/>
      <c r="G1235" s="109"/>
      <c r="H1235" s="192"/>
      <c r="I1235" s="86" t="s">
        <v>2057</v>
      </c>
      <c r="J1235" s="87">
        <v>770</v>
      </c>
      <c r="K1235" s="110" t="s">
        <v>1476</v>
      </c>
      <c r="L1235" s="106"/>
      <c r="M1235" t="s">
        <v>2061</v>
      </c>
      <c r="N1235" s="106">
        <v>1</v>
      </c>
      <c r="O1235" s="107"/>
      <c r="P1235" s="27">
        <v>569.59</v>
      </c>
      <c r="Q1235" s="28">
        <f>data[[#This Row],[Costo Producto
Proveedor ($/Unid)]]*data[[#This Row],[Cantidad]]</f>
        <v>0</v>
      </c>
      <c r="R1235" s="28">
        <f>data[[#This Row],[Cantidad]]*data[[#This Row],[Precio de Venta Cliente ($/Unid)]]</f>
        <v>569.59</v>
      </c>
      <c r="S1235" s="29"/>
      <c r="T1235" s="109" t="s">
        <v>119</v>
      </c>
      <c r="U1235" s="109"/>
      <c r="V1235" s="30" t="s">
        <v>46</v>
      </c>
      <c r="W1235" s="32" t="s">
        <v>46</v>
      </c>
      <c r="X1235" s="106" t="s">
        <v>503</v>
      </c>
      <c r="Y1235" s="106" t="s">
        <v>503</v>
      </c>
      <c r="Z1235" s="106" t="s">
        <v>12</v>
      </c>
      <c r="AA1235" s="109"/>
    </row>
    <row r="1236" spans="2:27" x14ac:dyDescent="0.25">
      <c r="B1236" s="192"/>
      <c r="C1236" s="192" t="str">
        <f>TEXT(data[[#This Row],[Fecha de Envío
Cotización]],"MMMM")</f>
        <v>junio</v>
      </c>
      <c r="D1236" s="192">
        <v>44361</v>
      </c>
      <c r="E1236" s="192"/>
      <c r="F1236" s="192"/>
      <c r="G1236" s="109"/>
      <c r="H1236" s="192"/>
      <c r="I1236" s="86" t="s">
        <v>2058</v>
      </c>
      <c r="J1236" s="87">
        <v>770</v>
      </c>
      <c r="K1236" s="110" t="s">
        <v>1476</v>
      </c>
      <c r="L1236" s="106"/>
      <c r="M1236" t="s">
        <v>2062</v>
      </c>
      <c r="N1236" s="106">
        <v>1</v>
      </c>
      <c r="O1236" s="107"/>
      <c r="P1236" s="27">
        <v>377.14</v>
      </c>
      <c r="Q1236" s="28">
        <f>data[[#This Row],[Costo Producto
Proveedor ($/Unid)]]*data[[#This Row],[Cantidad]]</f>
        <v>0</v>
      </c>
      <c r="R1236" s="28">
        <f>data[[#This Row],[Cantidad]]*data[[#This Row],[Precio de Venta Cliente ($/Unid)]]</f>
        <v>377.14</v>
      </c>
      <c r="S1236" s="29"/>
      <c r="T1236" s="109" t="s">
        <v>119</v>
      </c>
      <c r="U1236" s="109"/>
      <c r="V1236" s="30" t="s">
        <v>46</v>
      </c>
      <c r="W1236" s="32" t="s">
        <v>46</v>
      </c>
      <c r="X1236" s="106" t="s">
        <v>503</v>
      </c>
      <c r="Y1236" s="106" t="s">
        <v>503</v>
      </c>
      <c r="Z1236" s="106" t="s">
        <v>12</v>
      </c>
      <c r="AA1236" s="109"/>
    </row>
    <row r="1237" spans="2:27" x14ac:dyDescent="0.25">
      <c r="B1237" s="192"/>
      <c r="C1237" s="192" t="str">
        <f>TEXT(data[[#This Row],[Fecha de Envío
Cotización]],"MMMM")</f>
        <v>junio</v>
      </c>
      <c r="D1237" s="192">
        <v>44361</v>
      </c>
      <c r="E1237" s="192"/>
      <c r="F1237" s="192"/>
      <c r="G1237" s="109"/>
      <c r="H1237" s="192"/>
      <c r="I1237" s="86" t="s">
        <v>2059</v>
      </c>
      <c r="J1237" s="87">
        <v>770</v>
      </c>
      <c r="K1237" s="110" t="s">
        <v>1476</v>
      </c>
      <c r="L1237" s="106"/>
      <c r="M1237" t="s">
        <v>2063</v>
      </c>
      <c r="N1237" s="106">
        <v>1</v>
      </c>
      <c r="O1237" s="107"/>
      <c r="P1237" s="27">
        <v>260.12</v>
      </c>
      <c r="Q1237" s="28">
        <f>data[[#This Row],[Costo Producto
Proveedor ($/Unid)]]*data[[#This Row],[Cantidad]]</f>
        <v>0</v>
      </c>
      <c r="R1237" s="28">
        <f>data[[#This Row],[Cantidad]]*data[[#This Row],[Precio de Venta Cliente ($/Unid)]]</f>
        <v>260.12</v>
      </c>
      <c r="S1237" s="29"/>
      <c r="T1237" s="109" t="s">
        <v>119</v>
      </c>
      <c r="U1237" s="109"/>
      <c r="V1237" s="30" t="s">
        <v>46</v>
      </c>
      <c r="W1237" s="32" t="s">
        <v>46</v>
      </c>
      <c r="X1237" s="106" t="s">
        <v>503</v>
      </c>
      <c r="Y1237" s="106" t="s">
        <v>503</v>
      </c>
      <c r="Z1237" s="106" t="s">
        <v>12</v>
      </c>
      <c r="AA1237" s="109"/>
    </row>
    <row r="1238" spans="2:27" x14ac:dyDescent="0.25">
      <c r="B1238" s="192"/>
      <c r="C1238" s="192" t="str">
        <f>TEXT(data[[#This Row],[Fecha de Envío
Cotización]],"MMMM")</f>
        <v>junio</v>
      </c>
      <c r="D1238" s="192">
        <v>44361</v>
      </c>
      <c r="E1238" s="192"/>
      <c r="F1238" s="192"/>
      <c r="G1238" s="109"/>
      <c r="H1238" s="192"/>
      <c r="I1238" s="86" t="s">
        <v>2064</v>
      </c>
      <c r="J1238" s="87">
        <v>766</v>
      </c>
      <c r="K1238" s="110" t="s">
        <v>1476</v>
      </c>
      <c r="L1238" s="106"/>
      <c r="M1238" s="105" t="s">
        <v>2068</v>
      </c>
      <c r="N1238" s="106">
        <v>1</v>
      </c>
      <c r="O1238" s="107"/>
      <c r="P1238" s="27">
        <v>494.55</v>
      </c>
      <c r="Q1238" s="28">
        <f>data[[#This Row],[Costo Producto
Proveedor ($/Unid)]]*data[[#This Row],[Cantidad]]</f>
        <v>0</v>
      </c>
      <c r="R1238" s="28">
        <f>data[[#This Row],[Cantidad]]*data[[#This Row],[Precio de Venta Cliente ($/Unid)]]</f>
        <v>494.55</v>
      </c>
      <c r="S1238" s="29"/>
      <c r="T1238" s="109" t="s">
        <v>51</v>
      </c>
      <c r="U1238" s="109"/>
      <c r="V1238" s="30" t="s">
        <v>46</v>
      </c>
      <c r="W1238" s="32" t="s">
        <v>46</v>
      </c>
      <c r="X1238" s="106" t="s">
        <v>503</v>
      </c>
      <c r="Y1238" s="106" t="s">
        <v>503</v>
      </c>
      <c r="Z1238" s="106" t="s">
        <v>12</v>
      </c>
      <c r="AA1238" s="109"/>
    </row>
    <row r="1239" spans="2:27" x14ac:dyDescent="0.25">
      <c r="B1239" s="192"/>
      <c r="C1239" s="192" t="str">
        <f>TEXT(data[[#This Row],[Fecha de Envío
Cotización]],"MMMM")</f>
        <v>junio</v>
      </c>
      <c r="D1239" s="192">
        <v>44361</v>
      </c>
      <c r="E1239" s="192"/>
      <c r="F1239" s="192"/>
      <c r="G1239" s="109"/>
      <c r="H1239" s="192"/>
      <c r="I1239" s="86" t="s">
        <v>2065</v>
      </c>
      <c r="J1239" s="87">
        <v>766</v>
      </c>
      <c r="K1239" s="110" t="s">
        <v>1476</v>
      </c>
      <c r="L1239" s="106"/>
      <c r="M1239" s="105" t="s">
        <v>2069</v>
      </c>
      <c r="N1239" s="106">
        <v>1</v>
      </c>
      <c r="O1239" s="107"/>
      <c r="P1239" s="27">
        <v>545.69000000000005</v>
      </c>
      <c r="Q1239" s="28">
        <f>data[[#This Row],[Costo Producto
Proveedor ($/Unid)]]*data[[#This Row],[Cantidad]]</f>
        <v>0</v>
      </c>
      <c r="R1239" s="28">
        <f>data[[#This Row],[Cantidad]]*data[[#This Row],[Precio de Venta Cliente ($/Unid)]]</f>
        <v>545.69000000000005</v>
      </c>
      <c r="S1239" s="29"/>
      <c r="T1239" s="109" t="s">
        <v>51</v>
      </c>
      <c r="U1239" s="109"/>
      <c r="V1239" s="30" t="s">
        <v>46</v>
      </c>
      <c r="W1239" s="32" t="s">
        <v>46</v>
      </c>
      <c r="X1239" s="106" t="s">
        <v>503</v>
      </c>
      <c r="Y1239" s="106" t="s">
        <v>503</v>
      </c>
      <c r="Z1239" s="106" t="s">
        <v>12</v>
      </c>
      <c r="AA1239" s="109"/>
    </row>
    <row r="1240" spans="2:27" x14ac:dyDescent="0.25">
      <c r="B1240" s="192"/>
      <c r="C1240" s="192" t="str">
        <f>TEXT(data[[#This Row],[Fecha de Envío
Cotización]],"MMMM")</f>
        <v>junio</v>
      </c>
      <c r="D1240" s="192">
        <v>44361</v>
      </c>
      <c r="E1240" s="192"/>
      <c r="F1240" s="192"/>
      <c r="G1240" s="109"/>
      <c r="H1240" s="192"/>
      <c r="I1240" s="86" t="s">
        <v>2066</v>
      </c>
      <c r="J1240" s="87">
        <v>766</v>
      </c>
      <c r="K1240" s="110" t="s">
        <v>1476</v>
      </c>
      <c r="L1240" s="106"/>
      <c r="M1240" s="105" t="s">
        <v>2070</v>
      </c>
      <c r="N1240" s="106">
        <v>1</v>
      </c>
      <c r="O1240" s="107"/>
      <c r="P1240" s="27">
        <v>545.69000000000005</v>
      </c>
      <c r="Q1240" s="28">
        <f>data[[#This Row],[Costo Producto
Proveedor ($/Unid)]]*data[[#This Row],[Cantidad]]</f>
        <v>0</v>
      </c>
      <c r="R1240" s="28">
        <f>data[[#This Row],[Cantidad]]*data[[#This Row],[Precio de Venta Cliente ($/Unid)]]</f>
        <v>545.69000000000005</v>
      </c>
      <c r="S1240" s="29"/>
      <c r="T1240" s="109" t="s">
        <v>51</v>
      </c>
      <c r="U1240" s="109"/>
      <c r="V1240" s="30" t="s">
        <v>46</v>
      </c>
      <c r="W1240" s="32" t="s">
        <v>46</v>
      </c>
      <c r="X1240" s="106" t="s">
        <v>503</v>
      </c>
      <c r="Y1240" s="106" t="s">
        <v>503</v>
      </c>
      <c r="Z1240" s="106" t="s">
        <v>12</v>
      </c>
      <c r="AA1240" s="109"/>
    </row>
    <row r="1241" spans="2:27" x14ac:dyDescent="0.25">
      <c r="B1241" s="192"/>
      <c r="C1241" s="192" t="str">
        <f>TEXT(data[[#This Row],[Fecha de Envío
Cotización]],"MMMM")</f>
        <v>junio</v>
      </c>
      <c r="D1241" s="192">
        <v>44361</v>
      </c>
      <c r="E1241" s="192"/>
      <c r="F1241" s="192"/>
      <c r="G1241" s="109"/>
      <c r="H1241" s="192"/>
      <c r="I1241" s="86" t="s">
        <v>2067</v>
      </c>
      <c r="J1241" s="87">
        <v>766</v>
      </c>
      <c r="K1241" s="110" t="s">
        <v>1476</v>
      </c>
      <c r="L1241" s="106"/>
      <c r="M1241" s="105" t="s">
        <v>2071</v>
      </c>
      <c r="N1241" s="106">
        <v>1</v>
      </c>
      <c r="O1241" s="107"/>
      <c r="P1241" s="27">
        <v>429.68</v>
      </c>
      <c r="Q1241" s="28">
        <f>data[[#This Row],[Costo Producto
Proveedor ($/Unid)]]*data[[#This Row],[Cantidad]]</f>
        <v>0</v>
      </c>
      <c r="R1241" s="28">
        <f>data[[#This Row],[Cantidad]]*data[[#This Row],[Precio de Venta Cliente ($/Unid)]]</f>
        <v>429.68</v>
      </c>
      <c r="S1241" s="29"/>
      <c r="T1241" s="109" t="s">
        <v>51</v>
      </c>
      <c r="U1241" s="109"/>
      <c r="V1241" s="30" t="s">
        <v>46</v>
      </c>
      <c r="W1241" s="32" t="s">
        <v>46</v>
      </c>
      <c r="X1241" s="106" t="s">
        <v>503</v>
      </c>
      <c r="Y1241" s="106" t="s">
        <v>503</v>
      </c>
      <c r="Z1241" s="106" t="s">
        <v>12</v>
      </c>
      <c r="AA1241" s="109"/>
    </row>
    <row r="1242" spans="2:27" x14ac:dyDescent="0.25">
      <c r="B1242" s="192"/>
      <c r="C1242" s="192" t="str">
        <f>TEXT(data[[#This Row],[Fecha de Envío
Cotización]],"MMMM")</f>
        <v>junio</v>
      </c>
      <c r="D1242" s="192">
        <v>44361</v>
      </c>
      <c r="E1242" s="192"/>
      <c r="F1242" s="192"/>
      <c r="G1242" s="109"/>
      <c r="H1242" s="192"/>
      <c r="I1242" s="86" t="s">
        <v>2087</v>
      </c>
      <c r="J1242" s="87">
        <v>773</v>
      </c>
      <c r="K1242" s="110" t="s">
        <v>320</v>
      </c>
      <c r="L1242" s="106"/>
      <c r="M1242" s="105" t="s">
        <v>2088</v>
      </c>
      <c r="N1242" s="106">
        <v>1</v>
      </c>
      <c r="O1242" s="107"/>
      <c r="P1242" s="27">
        <v>465.3</v>
      </c>
      <c r="Q1242" s="28">
        <f>data[[#This Row],[Costo Producto
Proveedor ($/Unid)]]*data[[#This Row],[Cantidad]]</f>
        <v>0</v>
      </c>
      <c r="R1242" s="28">
        <f>data[[#This Row],[Cantidad]]*data[[#This Row],[Precio de Venta Cliente ($/Unid)]]</f>
        <v>465.3</v>
      </c>
      <c r="S1242" s="29"/>
      <c r="T1242" s="109" t="s">
        <v>119</v>
      </c>
      <c r="U1242" s="109"/>
      <c r="V1242" s="30" t="s">
        <v>46</v>
      </c>
      <c r="W1242" s="32" t="s">
        <v>46</v>
      </c>
      <c r="X1242" s="106" t="s">
        <v>503</v>
      </c>
      <c r="Y1242" s="106" t="s">
        <v>503</v>
      </c>
      <c r="Z1242" s="106" t="s">
        <v>12</v>
      </c>
      <c r="AA1242" s="109"/>
    </row>
    <row r="1243" spans="2:27" x14ac:dyDescent="0.25">
      <c r="B1243" s="192"/>
      <c r="C1243" s="192" t="str">
        <f>TEXT(data[[#This Row],[Fecha de Envío
Cotización]],"MMMM")</f>
        <v>junio</v>
      </c>
      <c r="D1243" s="192">
        <v>44361</v>
      </c>
      <c r="E1243" s="174" t="str">
        <f>IF(data[[#This Row],[Estatus de 
Cotización]]="PERDIDO","N/A","")</f>
        <v/>
      </c>
      <c r="F1243" s="192"/>
      <c r="G1243" s="109"/>
      <c r="H1243" s="192"/>
      <c r="I1243" s="86" t="s">
        <v>2094</v>
      </c>
      <c r="J1243" s="87">
        <v>776</v>
      </c>
      <c r="K1243" s="110" t="s">
        <v>31</v>
      </c>
      <c r="L1243" s="106"/>
      <c r="M1243" s="105" t="s">
        <v>2093</v>
      </c>
      <c r="N1243" s="106">
        <v>4</v>
      </c>
      <c r="O1243" s="107"/>
      <c r="P1243" s="27">
        <v>17.82</v>
      </c>
      <c r="Q1243" s="28">
        <f>data[[#This Row],[Costo Producto
Proveedor ($/Unid)]]*data[[#This Row],[Cantidad]]</f>
        <v>0</v>
      </c>
      <c r="R1243" s="28">
        <f>data[[#This Row],[Cantidad]]*data[[#This Row],[Precio de Venta Cliente ($/Unid)]]</f>
        <v>71.28</v>
      </c>
      <c r="S1243" s="29"/>
      <c r="T1243" s="109" t="s">
        <v>2004</v>
      </c>
      <c r="U1243" s="109"/>
      <c r="V1243" s="30" t="s">
        <v>46</v>
      </c>
      <c r="W1243" s="32" t="s">
        <v>46</v>
      </c>
      <c r="X1243" s="106" t="s">
        <v>503</v>
      </c>
      <c r="Y1243" s="106" t="s">
        <v>503</v>
      </c>
      <c r="Z1243" s="106" t="s">
        <v>12</v>
      </c>
      <c r="AA1243" s="109"/>
    </row>
    <row r="1244" spans="2:27" x14ac:dyDescent="0.25">
      <c r="B1244" s="192"/>
      <c r="C1244" s="192" t="str">
        <f>TEXT(data[[#This Row],[Fecha de Envío
Cotización]],"MMMM")</f>
        <v>junio</v>
      </c>
      <c r="D1244" s="192">
        <v>44361</v>
      </c>
      <c r="E1244" s="192"/>
      <c r="F1244" s="192"/>
      <c r="G1244" s="109"/>
      <c r="H1244" s="192"/>
      <c r="I1244" s="86" t="s">
        <v>2095</v>
      </c>
      <c r="J1244" s="87">
        <v>777</v>
      </c>
      <c r="K1244" s="110" t="s">
        <v>1417</v>
      </c>
      <c r="L1244" s="106"/>
      <c r="M1244" s="105" t="s">
        <v>2096</v>
      </c>
      <c r="N1244" s="106">
        <v>100</v>
      </c>
      <c r="O1244" s="107"/>
      <c r="P1244" s="27">
        <v>0.96</v>
      </c>
      <c r="Q1244" s="28">
        <f>data[[#This Row],[Costo Producto
Proveedor ($/Unid)]]*data[[#This Row],[Cantidad]]</f>
        <v>0</v>
      </c>
      <c r="R1244" s="28">
        <f>data[[#This Row],[Cantidad]]*data[[#This Row],[Precio de Venta Cliente ($/Unid)]]</f>
        <v>96</v>
      </c>
      <c r="S1244" s="29"/>
      <c r="T1244" s="109" t="s">
        <v>73</v>
      </c>
      <c r="U1244" s="109"/>
      <c r="V1244" s="30" t="s">
        <v>46</v>
      </c>
      <c r="W1244" s="32" t="s">
        <v>46</v>
      </c>
      <c r="X1244" s="106" t="s">
        <v>503</v>
      </c>
      <c r="Y1244" s="106" t="s">
        <v>503</v>
      </c>
      <c r="Z1244" s="106" t="s">
        <v>12</v>
      </c>
      <c r="AA1244" s="109"/>
    </row>
    <row r="1245" spans="2:27" x14ac:dyDescent="0.25">
      <c r="B1245" s="192"/>
      <c r="C1245" s="192" t="str">
        <f>TEXT(data[[#This Row],[Fecha de Envío
Cotización]],"MMMM")</f>
        <v>junio</v>
      </c>
      <c r="D1245" s="192">
        <v>44361</v>
      </c>
      <c r="E1245" s="192"/>
      <c r="F1245" s="192"/>
      <c r="G1245" s="109"/>
      <c r="H1245" s="192"/>
      <c r="I1245" s="86" t="s">
        <v>2133</v>
      </c>
      <c r="J1245" s="87">
        <v>781</v>
      </c>
      <c r="K1245" s="110" t="s">
        <v>424</v>
      </c>
      <c r="L1245" s="106"/>
      <c r="M1245" t="s">
        <v>2134</v>
      </c>
      <c r="N1245" s="106">
        <v>4</v>
      </c>
      <c r="O1245" s="107"/>
      <c r="P1245" s="27">
        <v>678.59</v>
      </c>
      <c r="Q1245" s="28">
        <f>data[[#This Row],[Costo Producto
Proveedor ($/Unid)]]*data[[#This Row],[Cantidad]]</f>
        <v>0</v>
      </c>
      <c r="R1245" s="28">
        <f>data[[#This Row],[Cantidad]]*data[[#This Row],[Precio de Venta Cliente ($/Unid)]]</f>
        <v>2714.36</v>
      </c>
      <c r="S1245" s="29"/>
      <c r="T1245" s="109" t="s">
        <v>16</v>
      </c>
      <c r="U1245" s="109"/>
      <c r="V1245" s="30" t="s">
        <v>42</v>
      </c>
      <c r="W1245" s="32" t="s">
        <v>42</v>
      </c>
      <c r="X1245" s="106" t="s">
        <v>23</v>
      </c>
      <c r="Y1245" s="106" t="s">
        <v>23</v>
      </c>
      <c r="Z1245" s="106" t="s">
        <v>12</v>
      </c>
      <c r="AA1245" s="109"/>
    </row>
    <row r="1246" spans="2:27" x14ac:dyDescent="0.25">
      <c r="B1246" s="192"/>
      <c r="C1246" s="192" t="str">
        <f>TEXT(data[[#This Row],[Fecha de Envío
Cotización]],"MMMM")</f>
        <v>junio</v>
      </c>
      <c r="D1246" s="192">
        <v>44361</v>
      </c>
      <c r="E1246" s="192"/>
      <c r="F1246" s="192"/>
      <c r="G1246" s="109"/>
      <c r="H1246" s="192"/>
      <c r="I1246" s="86" t="s">
        <v>2135</v>
      </c>
      <c r="J1246" s="87">
        <v>781</v>
      </c>
      <c r="K1246" s="110" t="s">
        <v>424</v>
      </c>
      <c r="L1246" s="106"/>
      <c r="M1246" t="s">
        <v>2137</v>
      </c>
      <c r="N1246" s="106">
        <v>2</v>
      </c>
      <c r="O1246" s="107"/>
      <c r="P1246" s="27">
        <v>1263.32</v>
      </c>
      <c r="Q1246" s="28">
        <f>data[[#This Row],[Costo Producto
Proveedor ($/Unid)]]*data[[#This Row],[Cantidad]]</f>
        <v>0</v>
      </c>
      <c r="R1246" s="28">
        <f>data[[#This Row],[Cantidad]]*data[[#This Row],[Precio de Venta Cliente ($/Unid)]]</f>
        <v>2526.64</v>
      </c>
      <c r="S1246" s="29"/>
      <c r="T1246" s="109" t="s">
        <v>16</v>
      </c>
      <c r="U1246" s="109"/>
      <c r="V1246" s="30" t="s">
        <v>42</v>
      </c>
      <c r="W1246" s="32" t="s">
        <v>42</v>
      </c>
      <c r="X1246" s="106" t="s">
        <v>23</v>
      </c>
      <c r="Y1246" s="106" t="s">
        <v>23</v>
      </c>
      <c r="Z1246" s="106" t="s">
        <v>12</v>
      </c>
      <c r="AA1246" s="109"/>
    </row>
    <row r="1247" spans="2:27" x14ac:dyDescent="0.25">
      <c r="B1247" s="192"/>
      <c r="C1247" s="192" t="str">
        <f>TEXT(data[[#This Row],[Fecha de Envío
Cotización]],"MMMM")</f>
        <v>junio</v>
      </c>
      <c r="D1247" s="192">
        <v>44361</v>
      </c>
      <c r="E1247" s="192"/>
      <c r="F1247" s="192"/>
      <c r="G1247" s="109"/>
      <c r="H1247" s="192"/>
      <c r="I1247" s="86" t="s">
        <v>2136</v>
      </c>
      <c r="J1247" s="87">
        <v>781</v>
      </c>
      <c r="K1247" s="110" t="s">
        <v>424</v>
      </c>
      <c r="L1247" s="106"/>
      <c r="M1247" t="s">
        <v>2138</v>
      </c>
      <c r="N1247" s="106">
        <v>1</v>
      </c>
      <c r="O1247" s="107"/>
      <c r="P1247" s="27">
        <v>2399.59</v>
      </c>
      <c r="Q1247" s="28">
        <f>data[[#This Row],[Costo Producto
Proveedor ($/Unid)]]*data[[#This Row],[Cantidad]]</f>
        <v>0</v>
      </c>
      <c r="R1247" s="28">
        <f>data[[#This Row],[Cantidad]]*data[[#This Row],[Precio de Venta Cliente ($/Unid)]]</f>
        <v>2399.59</v>
      </c>
      <c r="S1247" s="29"/>
      <c r="T1247" s="109" t="s">
        <v>16</v>
      </c>
      <c r="U1247" s="109"/>
      <c r="V1247" s="30" t="s">
        <v>42</v>
      </c>
      <c r="W1247" s="32" t="s">
        <v>42</v>
      </c>
      <c r="X1247" s="106" t="s">
        <v>23</v>
      </c>
      <c r="Y1247" s="106" t="s">
        <v>23</v>
      </c>
      <c r="Z1247" s="106" t="s">
        <v>12</v>
      </c>
      <c r="AA1247" s="109"/>
    </row>
    <row r="1248" spans="2:27" x14ac:dyDescent="0.25">
      <c r="B1248" s="192"/>
      <c r="C1248" s="192" t="str">
        <f>TEXT(data[[#This Row],[Fecha de Envío
Cotización]],"MMMM")</f>
        <v>junio</v>
      </c>
      <c r="D1248" s="192">
        <v>44361</v>
      </c>
      <c r="E1248" s="192"/>
      <c r="F1248" s="192"/>
      <c r="G1248" s="109"/>
      <c r="H1248" s="192"/>
      <c r="I1248" s="86" t="s">
        <v>2139</v>
      </c>
      <c r="J1248" s="87">
        <v>783</v>
      </c>
      <c r="K1248" s="110" t="s">
        <v>424</v>
      </c>
      <c r="L1248" s="106"/>
      <c r="M1248" t="s">
        <v>2142</v>
      </c>
      <c r="N1248" s="106">
        <v>4</v>
      </c>
      <c r="O1248" s="107"/>
      <c r="P1248" s="27">
        <v>716.76</v>
      </c>
      <c r="Q1248" s="28">
        <f>data[[#This Row],[Costo Producto
Proveedor ($/Unid)]]*data[[#This Row],[Cantidad]]</f>
        <v>0</v>
      </c>
      <c r="R1248" s="28">
        <f>data[[#This Row],[Cantidad]]*data[[#This Row],[Precio de Venta Cliente ($/Unid)]]</f>
        <v>2867.04</v>
      </c>
      <c r="S1248" s="29"/>
      <c r="T1248" s="109" t="s">
        <v>16</v>
      </c>
      <c r="U1248" s="109"/>
      <c r="V1248" s="30" t="s">
        <v>42</v>
      </c>
      <c r="W1248" s="32" t="s">
        <v>42</v>
      </c>
      <c r="X1248" s="106" t="s">
        <v>23</v>
      </c>
      <c r="Y1248" s="106" t="s">
        <v>23</v>
      </c>
      <c r="Z1248" s="106" t="s">
        <v>12</v>
      </c>
      <c r="AA1248" s="109"/>
    </row>
    <row r="1249" spans="2:27" x14ac:dyDescent="0.25">
      <c r="B1249" s="192"/>
      <c r="C1249" s="192" t="str">
        <f>TEXT(data[[#This Row],[Fecha de Envío
Cotización]],"MMMM")</f>
        <v>junio</v>
      </c>
      <c r="D1249" s="192">
        <v>44361</v>
      </c>
      <c r="E1249" s="192"/>
      <c r="F1249" s="192"/>
      <c r="G1249" s="109"/>
      <c r="H1249" s="192"/>
      <c r="I1249" s="86" t="s">
        <v>2140</v>
      </c>
      <c r="J1249" s="87">
        <v>783</v>
      </c>
      <c r="K1249" s="110" t="s">
        <v>424</v>
      </c>
      <c r="L1249" s="106"/>
      <c r="M1249" t="s">
        <v>2143</v>
      </c>
      <c r="N1249" s="106">
        <v>2</v>
      </c>
      <c r="O1249" s="107"/>
      <c r="P1249" s="27">
        <v>1663.2</v>
      </c>
      <c r="Q1249" s="28">
        <f>data[[#This Row],[Costo Producto
Proveedor ($/Unid)]]*data[[#This Row],[Cantidad]]</f>
        <v>0</v>
      </c>
      <c r="R1249" s="28">
        <f>data[[#This Row],[Cantidad]]*data[[#This Row],[Precio de Venta Cliente ($/Unid)]]</f>
        <v>3326.4</v>
      </c>
      <c r="S1249" s="29"/>
      <c r="T1249" s="109" t="s">
        <v>16</v>
      </c>
      <c r="U1249" s="109"/>
      <c r="V1249" s="30" t="s">
        <v>42</v>
      </c>
      <c r="W1249" s="32" t="s">
        <v>42</v>
      </c>
      <c r="X1249" s="106" t="s">
        <v>23</v>
      </c>
      <c r="Y1249" s="106" t="s">
        <v>23</v>
      </c>
      <c r="Z1249" s="106" t="s">
        <v>12</v>
      </c>
      <c r="AA1249" s="109"/>
    </row>
    <row r="1250" spans="2:27" x14ac:dyDescent="0.25">
      <c r="B1250" s="192"/>
      <c r="C1250" s="192" t="str">
        <f>TEXT(data[[#This Row],[Fecha de Envío
Cotización]],"MMMM")</f>
        <v>junio</v>
      </c>
      <c r="D1250" s="192">
        <v>44361</v>
      </c>
      <c r="E1250" s="192"/>
      <c r="F1250" s="192"/>
      <c r="G1250" s="109"/>
      <c r="H1250" s="192"/>
      <c r="I1250" s="86" t="s">
        <v>2141</v>
      </c>
      <c r="J1250" s="87">
        <v>783</v>
      </c>
      <c r="K1250" s="110" t="s">
        <v>424</v>
      </c>
      <c r="L1250" s="106"/>
      <c r="M1250" t="s">
        <v>2144</v>
      </c>
      <c r="N1250" s="106">
        <v>1</v>
      </c>
      <c r="O1250" s="107"/>
      <c r="P1250" s="27">
        <v>2766.9</v>
      </c>
      <c r="Q1250" s="28">
        <f>data[[#This Row],[Costo Producto
Proveedor ($/Unid)]]*data[[#This Row],[Cantidad]]</f>
        <v>0</v>
      </c>
      <c r="R1250" s="28">
        <f>data[[#This Row],[Cantidad]]*data[[#This Row],[Precio de Venta Cliente ($/Unid)]]</f>
        <v>2766.9</v>
      </c>
      <c r="S1250" s="29"/>
      <c r="T1250" s="109" t="s">
        <v>16</v>
      </c>
      <c r="U1250" s="109"/>
      <c r="V1250" s="30" t="s">
        <v>42</v>
      </c>
      <c r="W1250" s="32" t="s">
        <v>42</v>
      </c>
      <c r="X1250" s="106" t="s">
        <v>23</v>
      </c>
      <c r="Y1250" s="106" t="s">
        <v>23</v>
      </c>
      <c r="Z1250" s="106" t="s">
        <v>12</v>
      </c>
      <c r="AA1250" s="109"/>
    </row>
    <row r="1251" spans="2:27" x14ac:dyDescent="0.25">
      <c r="B1251" s="192"/>
      <c r="C1251" s="192" t="str">
        <f>TEXT(data[[#This Row],[Fecha de Envío
Cotización]],"MMMM")</f>
        <v>junio</v>
      </c>
      <c r="D1251" s="192">
        <v>44362</v>
      </c>
      <c r="E1251" s="192">
        <v>44369</v>
      </c>
      <c r="F1251" s="192"/>
      <c r="G1251" s="109">
        <v>18107</v>
      </c>
      <c r="H1251" s="192"/>
      <c r="I1251" s="86" t="s">
        <v>2156</v>
      </c>
      <c r="J1251" s="87">
        <v>884</v>
      </c>
      <c r="K1251" s="110" t="s">
        <v>320</v>
      </c>
      <c r="L1251" s="106"/>
      <c r="M1251" t="s">
        <v>2163</v>
      </c>
      <c r="N1251" s="106">
        <v>1</v>
      </c>
      <c r="O1251" s="107"/>
      <c r="P1251" s="27">
        <v>152.47</v>
      </c>
      <c r="Q1251" s="28">
        <f>data[[#This Row],[Costo Producto
Proveedor ($/Unid)]]*data[[#This Row],[Cantidad]]</f>
        <v>0</v>
      </c>
      <c r="R1251" s="28">
        <f>data[[#This Row],[Cantidad]]*data[[#This Row],[Precio de Venta Cliente ($/Unid)]]</f>
        <v>152.47</v>
      </c>
      <c r="S1251" s="29"/>
      <c r="T1251" s="109" t="s">
        <v>36</v>
      </c>
      <c r="U1251" s="109"/>
      <c r="V1251" s="30" t="s">
        <v>44</v>
      </c>
      <c r="W1251" s="32" t="s">
        <v>44</v>
      </c>
      <c r="X1251" s="106" t="s">
        <v>503</v>
      </c>
      <c r="Y1251" s="106" t="s">
        <v>503</v>
      </c>
      <c r="Z1251" s="106" t="s">
        <v>12</v>
      </c>
      <c r="AA1251" s="109" t="s">
        <v>2544</v>
      </c>
    </row>
    <row r="1252" spans="2:27" x14ac:dyDescent="0.25">
      <c r="B1252" s="192"/>
      <c r="C1252" s="192" t="str">
        <f>TEXT(data[[#This Row],[Fecha de Envío
Cotización]],"MMMM")</f>
        <v>junio</v>
      </c>
      <c r="D1252" s="192">
        <v>44362</v>
      </c>
      <c r="E1252" s="192">
        <v>44369</v>
      </c>
      <c r="F1252" s="192"/>
      <c r="G1252" s="109">
        <v>18017</v>
      </c>
      <c r="H1252" s="192"/>
      <c r="I1252" s="86" t="s">
        <v>2157</v>
      </c>
      <c r="J1252" s="87">
        <v>884</v>
      </c>
      <c r="K1252" s="110" t="s">
        <v>320</v>
      </c>
      <c r="L1252" s="106"/>
      <c r="M1252" t="s">
        <v>2164</v>
      </c>
      <c r="N1252" s="106">
        <v>2</v>
      </c>
      <c r="O1252" s="107"/>
      <c r="P1252" s="27">
        <v>226.92</v>
      </c>
      <c r="Q1252" s="28">
        <f>data[[#This Row],[Costo Producto
Proveedor ($/Unid)]]*data[[#This Row],[Cantidad]]</f>
        <v>0</v>
      </c>
      <c r="R1252" s="28">
        <f>data[[#This Row],[Cantidad]]*data[[#This Row],[Precio de Venta Cliente ($/Unid)]]</f>
        <v>453.84</v>
      </c>
      <c r="S1252" s="29"/>
      <c r="T1252" s="109" t="s">
        <v>36</v>
      </c>
      <c r="U1252" s="109"/>
      <c r="V1252" s="30" t="s">
        <v>44</v>
      </c>
      <c r="W1252" s="32" t="s">
        <v>44</v>
      </c>
      <c r="X1252" s="106" t="s">
        <v>503</v>
      </c>
      <c r="Y1252" s="106" t="s">
        <v>503</v>
      </c>
      <c r="Z1252" s="106" t="s">
        <v>12</v>
      </c>
      <c r="AA1252" s="109" t="s">
        <v>2545</v>
      </c>
    </row>
    <row r="1253" spans="2:27" x14ac:dyDescent="0.25">
      <c r="B1253" s="192"/>
      <c r="C1253" s="192" t="str">
        <f>TEXT(data[[#This Row],[Fecha de Envío
Cotización]],"MMMM")</f>
        <v>junio</v>
      </c>
      <c r="D1253" s="192">
        <v>44362</v>
      </c>
      <c r="E1253" s="192">
        <v>44369</v>
      </c>
      <c r="F1253" s="192"/>
      <c r="G1253" s="109">
        <v>18107</v>
      </c>
      <c r="H1253" s="192"/>
      <c r="I1253" s="86" t="s">
        <v>2158</v>
      </c>
      <c r="J1253" s="87">
        <v>884</v>
      </c>
      <c r="K1253" s="110" t="s">
        <v>320</v>
      </c>
      <c r="L1253" s="106"/>
      <c r="M1253" t="s">
        <v>2165</v>
      </c>
      <c r="N1253" s="106">
        <v>2</v>
      </c>
      <c r="O1253" s="107"/>
      <c r="P1253" s="27">
        <v>120.98</v>
      </c>
      <c r="Q1253" s="28">
        <f>data[[#This Row],[Costo Producto
Proveedor ($/Unid)]]*data[[#This Row],[Cantidad]]</f>
        <v>0</v>
      </c>
      <c r="R1253" s="28">
        <f>data[[#This Row],[Cantidad]]*data[[#This Row],[Precio de Venta Cliente ($/Unid)]]</f>
        <v>241.96</v>
      </c>
      <c r="S1253" s="29"/>
      <c r="T1253" s="109" t="s">
        <v>36</v>
      </c>
      <c r="U1253" s="109"/>
      <c r="V1253" s="30" t="s">
        <v>44</v>
      </c>
      <c r="W1253" s="32" t="s">
        <v>44</v>
      </c>
      <c r="X1253" s="106" t="s">
        <v>503</v>
      </c>
      <c r="Y1253" s="106" t="s">
        <v>503</v>
      </c>
      <c r="Z1253" s="106" t="s">
        <v>12</v>
      </c>
      <c r="AA1253" s="109" t="s">
        <v>2544</v>
      </c>
    </row>
    <row r="1254" spans="2:27" x14ac:dyDescent="0.25">
      <c r="B1254" s="192"/>
      <c r="C1254" s="192" t="str">
        <f>TEXT(data[[#This Row],[Fecha de Envío
Cotización]],"MMMM")</f>
        <v>junio</v>
      </c>
      <c r="D1254" s="192">
        <v>44362</v>
      </c>
      <c r="E1254" s="192">
        <v>44369</v>
      </c>
      <c r="F1254" s="192"/>
      <c r="G1254" s="109">
        <v>18107</v>
      </c>
      <c r="H1254" s="192"/>
      <c r="I1254" s="86" t="s">
        <v>2159</v>
      </c>
      <c r="J1254" s="87">
        <v>884</v>
      </c>
      <c r="K1254" s="110" t="s">
        <v>320</v>
      </c>
      <c r="L1254" s="106"/>
      <c r="M1254" t="s">
        <v>2166</v>
      </c>
      <c r="N1254" s="106">
        <v>4</v>
      </c>
      <c r="O1254" s="107"/>
      <c r="P1254" s="27">
        <v>49.94</v>
      </c>
      <c r="Q1254" s="28">
        <f>data[[#This Row],[Costo Producto
Proveedor ($/Unid)]]*data[[#This Row],[Cantidad]]</f>
        <v>0</v>
      </c>
      <c r="R1254" s="28">
        <f>data[[#This Row],[Cantidad]]*data[[#This Row],[Precio de Venta Cliente ($/Unid)]]</f>
        <v>199.76</v>
      </c>
      <c r="S1254" s="29"/>
      <c r="T1254" s="109" t="s">
        <v>36</v>
      </c>
      <c r="U1254" s="109"/>
      <c r="V1254" s="30" t="s">
        <v>44</v>
      </c>
      <c r="W1254" s="32" t="s">
        <v>44</v>
      </c>
      <c r="X1254" s="106" t="s">
        <v>503</v>
      </c>
      <c r="Y1254" s="106" t="s">
        <v>503</v>
      </c>
      <c r="Z1254" s="106" t="s">
        <v>12</v>
      </c>
      <c r="AA1254" s="109" t="s">
        <v>2544</v>
      </c>
    </row>
    <row r="1255" spans="2:27" x14ac:dyDescent="0.25">
      <c r="B1255" s="192"/>
      <c r="C1255" s="192" t="str">
        <f>TEXT(data[[#This Row],[Fecha de Envío
Cotización]],"MMMM")</f>
        <v>junio</v>
      </c>
      <c r="D1255" s="192">
        <v>44362</v>
      </c>
      <c r="E1255" s="192">
        <v>44369</v>
      </c>
      <c r="F1255" s="192"/>
      <c r="G1255" s="109">
        <v>18107</v>
      </c>
      <c r="H1255" s="192"/>
      <c r="I1255" s="86" t="s">
        <v>2160</v>
      </c>
      <c r="J1255" s="87">
        <v>884</v>
      </c>
      <c r="K1255" s="110" t="s">
        <v>320</v>
      </c>
      <c r="L1255" s="106"/>
      <c r="M1255" t="s">
        <v>2167</v>
      </c>
      <c r="N1255" s="106">
        <v>4</v>
      </c>
      <c r="O1255" s="107"/>
      <c r="P1255" s="27">
        <v>56.46</v>
      </c>
      <c r="Q1255" s="28">
        <f>data[[#This Row],[Costo Producto
Proveedor ($/Unid)]]*data[[#This Row],[Cantidad]]</f>
        <v>0</v>
      </c>
      <c r="R1255" s="28">
        <f>data[[#This Row],[Cantidad]]*data[[#This Row],[Precio de Venta Cliente ($/Unid)]]</f>
        <v>225.84</v>
      </c>
      <c r="S1255" s="29"/>
      <c r="T1255" s="109" t="s">
        <v>36</v>
      </c>
      <c r="U1255" s="109"/>
      <c r="V1255" s="30" t="s">
        <v>44</v>
      </c>
      <c r="W1255" s="32" t="s">
        <v>44</v>
      </c>
      <c r="X1255" s="106" t="s">
        <v>503</v>
      </c>
      <c r="Y1255" s="106" t="s">
        <v>503</v>
      </c>
      <c r="Z1255" s="106" t="s">
        <v>12</v>
      </c>
      <c r="AA1255" s="109" t="s">
        <v>2544</v>
      </c>
    </row>
    <row r="1256" spans="2:27" x14ac:dyDescent="0.25">
      <c r="B1256" s="192"/>
      <c r="C1256" s="192" t="str">
        <f>TEXT(data[[#This Row],[Fecha de Envío
Cotización]],"MMMM")</f>
        <v>junio</v>
      </c>
      <c r="D1256" s="192">
        <v>44362</v>
      </c>
      <c r="E1256" s="192"/>
      <c r="F1256" s="192"/>
      <c r="G1256" s="109"/>
      <c r="H1256" s="192"/>
      <c r="I1256" s="86" t="s">
        <v>2161</v>
      </c>
      <c r="J1256" s="87">
        <v>790</v>
      </c>
      <c r="K1256" s="110" t="s">
        <v>320</v>
      </c>
      <c r="L1256" s="106"/>
      <c r="M1256" t="s">
        <v>2168</v>
      </c>
      <c r="N1256" s="106">
        <v>70</v>
      </c>
      <c r="O1256" s="107"/>
      <c r="P1256" s="27">
        <v>7.02</v>
      </c>
      <c r="Q1256" s="28">
        <f>data[[#This Row],[Costo Producto
Proveedor ($/Unid)]]*data[[#This Row],[Cantidad]]</f>
        <v>0</v>
      </c>
      <c r="R1256" s="28">
        <f>data[[#This Row],[Cantidad]]*data[[#This Row],[Precio de Venta Cliente ($/Unid)]]</f>
        <v>491.4</v>
      </c>
      <c r="S1256" s="29"/>
      <c r="T1256" s="31" t="s">
        <v>36</v>
      </c>
      <c r="U1256" s="109"/>
      <c r="V1256" s="30" t="s">
        <v>42</v>
      </c>
      <c r="W1256" s="32" t="s">
        <v>42</v>
      </c>
      <c r="X1256" s="106" t="s">
        <v>503</v>
      </c>
      <c r="Y1256" s="106" t="s">
        <v>503</v>
      </c>
      <c r="Z1256" s="106" t="s">
        <v>12</v>
      </c>
      <c r="AA1256" s="109"/>
    </row>
    <row r="1257" spans="2:27" x14ac:dyDescent="0.25">
      <c r="B1257" s="192"/>
      <c r="C1257" s="192" t="str">
        <f>TEXT(data[[#This Row],[Fecha de Envío
Cotización]],"MMMM")</f>
        <v>junio</v>
      </c>
      <c r="D1257" s="192">
        <v>44362</v>
      </c>
      <c r="E1257" s="192"/>
      <c r="F1257" s="192"/>
      <c r="G1257" s="109"/>
      <c r="H1257" s="192"/>
      <c r="I1257" s="86" t="s">
        <v>2162</v>
      </c>
      <c r="J1257" s="87">
        <v>791</v>
      </c>
      <c r="K1257" s="110" t="s">
        <v>14</v>
      </c>
      <c r="L1257" s="106"/>
      <c r="M1257" t="s">
        <v>2169</v>
      </c>
      <c r="N1257" s="106">
        <v>1</v>
      </c>
      <c r="O1257" s="107"/>
      <c r="P1257" s="27">
        <v>489.79</v>
      </c>
      <c r="Q1257" s="28">
        <f>data[[#This Row],[Costo Producto
Proveedor ($/Unid)]]*data[[#This Row],[Cantidad]]</f>
        <v>0</v>
      </c>
      <c r="R1257" s="28">
        <f>data[[#This Row],[Cantidad]]*data[[#This Row],[Precio de Venta Cliente ($/Unid)]]</f>
        <v>489.79</v>
      </c>
      <c r="S1257" s="29"/>
      <c r="T1257" s="109" t="s">
        <v>16</v>
      </c>
      <c r="U1257" s="109"/>
      <c r="V1257" s="30" t="s">
        <v>46</v>
      </c>
      <c r="W1257" s="32" t="s">
        <v>46</v>
      </c>
      <c r="X1257" s="106" t="s">
        <v>503</v>
      </c>
      <c r="Y1257" s="106" t="s">
        <v>503</v>
      </c>
      <c r="Z1257" s="106" t="s">
        <v>12</v>
      </c>
      <c r="AA1257" s="109"/>
    </row>
    <row r="1258" spans="2:27" x14ac:dyDescent="0.25">
      <c r="B1258" s="192"/>
      <c r="C1258" s="192" t="str">
        <f>TEXT(data[[#This Row],[Fecha de Envío
Cotización]],"MMMM")</f>
        <v>junio</v>
      </c>
      <c r="D1258" s="192">
        <v>44362</v>
      </c>
      <c r="E1258" s="174" t="str">
        <f>IF(data[[#This Row],[Estatus de 
Cotización]]="PERDIDO","N/A","")</f>
        <v/>
      </c>
      <c r="F1258" s="192"/>
      <c r="G1258" s="109"/>
      <c r="H1258" s="192"/>
      <c r="I1258" s="86" t="s">
        <v>2181</v>
      </c>
      <c r="J1258" s="87">
        <v>793</v>
      </c>
      <c r="K1258" s="110" t="s">
        <v>31</v>
      </c>
      <c r="L1258" s="106"/>
      <c r="M1258" t="s">
        <v>2182</v>
      </c>
      <c r="N1258" s="106">
        <v>4</v>
      </c>
      <c r="O1258" s="107"/>
      <c r="P1258" s="27">
        <v>83.16</v>
      </c>
      <c r="Q1258" s="28">
        <f>data[[#This Row],[Costo Producto
Proveedor ($/Unid)]]*data[[#This Row],[Cantidad]]</f>
        <v>0</v>
      </c>
      <c r="R1258" s="28">
        <f>data[[#This Row],[Cantidad]]*data[[#This Row],[Precio de Venta Cliente ($/Unid)]]</f>
        <v>332.64</v>
      </c>
      <c r="S1258" s="29"/>
      <c r="T1258" s="109" t="s">
        <v>22</v>
      </c>
      <c r="U1258" s="109"/>
      <c r="V1258" s="30" t="s">
        <v>473</v>
      </c>
      <c r="W1258" s="32" t="s">
        <v>473</v>
      </c>
      <c r="X1258" s="106" t="s">
        <v>473</v>
      </c>
      <c r="Y1258" s="106" t="s">
        <v>473</v>
      </c>
      <c r="Z1258" s="106" t="s">
        <v>12</v>
      </c>
      <c r="AA1258" s="109" t="s">
        <v>2561</v>
      </c>
    </row>
    <row r="1259" spans="2:27" s="105" customFormat="1" x14ac:dyDescent="0.25">
      <c r="B1259" s="192"/>
      <c r="C1259" s="192" t="str">
        <f>TEXT(data[[#This Row],[Fecha de Envío
Cotización]],"MMMM")</f>
        <v>junio</v>
      </c>
      <c r="D1259" s="192">
        <v>44363</v>
      </c>
      <c r="E1259" s="174">
        <v>44375</v>
      </c>
      <c r="F1259" s="192"/>
      <c r="G1259" s="109">
        <v>21000931</v>
      </c>
      <c r="H1259" s="192"/>
      <c r="I1259" s="86"/>
      <c r="J1259" s="87">
        <v>62596</v>
      </c>
      <c r="K1259" s="110" t="s">
        <v>130</v>
      </c>
      <c r="L1259" s="106"/>
      <c r="M1259" s="105" t="s">
        <v>2488</v>
      </c>
      <c r="N1259" s="106">
        <v>40</v>
      </c>
      <c r="O1259" s="107"/>
      <c r="P1259" s="27">
        <v>5.03</v>
      </c>
      <c r="Q1259" s="28">
        <f>data[[#This Row],[Costo Producto
Proveedor ($/Unid)]]*data[[#This Row],[Cantidad]]</f>
        <v>0</v>
      </c>
      <c r="R1259" s="28">
        <f>data[[#This Row],[Cantidad]]*data[[#This Row],[Precio de Venta Cliente ($/Unid)]]</f>
        <v>201.20000000000002</v>
      </c>
      <c r="S1259" s="29"/>
      <c r="T1259" s="109" t="s">
        <v>36</v>
      </c>
      <c r="U1259" s="109"/>
      <c r="V1259" s="30" t="s">
        <v>44</v>
      </c>
      <c r="W1259" s="32" t="s">
        <v>44</v>
      </c>
      <c r="X1259" s="106" t="s">
        <v>503</v>
      </c>
      <c r="Y1259" s="106" t="s">
        <v>503</v>
      </c>
      <c r="Z1259" s="106" t="s">
        <v>12</v>
      </c>
      <c r="AA1259" s="109" t="s">
        <v>2544</v>
      </c>
    </row>
    <row r="1260" spans="2:27" s="105" customFormat="1" x14ac:dyDescent="0.25">
      <c r="B1260" s="192"/>
      <c r="C1260" s="192" t="str">
        <f>TEXT(data[[#This Row],[Fecha de Envío
Cotización]],"MMMM")</f>
        <v>junio</v>
      </c>
      <c r="D1260" s="192">
        <v>44363</v>
      </c>
      <c r="E1260" s="174" t="str">
        <f>IF(data[[#This Row],[Estatus de 
Cotización]]="PERDIDO","N/A","")</f>
        <v>N/A</v>
      </c>
      <c r="F1260" s="192"/>
      <c r="G1260" s="109"/>
      <c r="H1260" s="192"/>
      <c r="I1260" s="86"/>
      <c r="J1260" s="87">
        <v>62596</v>
      </c>
      <c r="K1260" s="110" t="s">
        <v>130</v>
      </c>
      <c r="L1260" s="106"/>
      <c r="M1260" s="105" t="s">
        <v>2487</v>
      </c>
      <c r="N1260" s="106">
        <v>50</v>
      </c>
      <c r="O1260" s="107"/>
      <c r="P1260" s="27">
        <v>27.14</v>
      </c>
      <c r="Q1260" s="28">
        <f>data[[#This Row],[Costo Producto
Proveedor ($/Unid)]]*data[[#This Row],[Cantidad]]</f>
        <v>0</v>
      </c>
      <c r="R1260" s="28">
        <f>data[[#This Row],[Cantidad]]*data[[#This Row],[Precio de Venta Cliente ($/Unid)]]</f>
        <v>1357</v>
      </c>
      <c r="S1260" s="29"/>
      <c r="T1260" s="109" t="s">
        <v>36</v>
      </c>
      <c r="U1260" s="109"/>
      <c r="V1260" s="30" t="s">
        <v>42</v>
      </c>
      <c r="W1260" s="32" t="s">
        <v>42</v>
      </c>
      <c r="X1260" s="106" t="s">
        <v>23</v>
      </c>
      <c r="Y1260" s="106" t="s">
        <v>23</v>
      </c>
      <c r="Z1260" s="106" t="s">
        <v>12</v>
      </c>
      <c r="AA1260" s="109"/>
    </row>
    <row r="1261" spans="2:27" s="105" customFormat="1" x14ac:dyDescent="0.25">
      <c r="B1261" s="192"/>
      <c r="C1261" s="192" t="str">
        <f>TEXT(data[[#This Row],[Fecha de Envío
Cotización]],"MMMM")</f>
        <v>junio</v>
      </c>
      <c r="D1261" s="192">
        <v>44363</v>
      </c>
      <c r="E1261" s="174" t="str">
        <f>IF(data[[#This Row],[Estatus de 
Cotización]]="PERDIDO","N/A","")</f>
        <v>N/A</v>
      </c>
      <c r="F1261" s="192"/>
      <c r="G1261" s="109"/>
      <c r="H1261" s="192"/>
      <c r="I1261" s="86"/>
      <c r="J1261" s="87">
        <v>62596</v>
      </c>
      <c r="K1261" s="110" t="s">
        <v>130</v>
      </c>
      <c r="L1261" s="106"/>
      <c r="M1261" s="105" t="s">
        <v>2489</v>
      </c>
      <c r="N1261" s="106">
        <v>10</v>
      </c>
      <c r="O1261" s="107"/>
      <c r="P1261" s="27">
        <v>14.93</v>
      </c>
      <c r="Q1261" s="28">
        <f>data[[#This Row],[Costo Producto
Proveedor ($/Unid)]]*data[[#This Row],[Cantidad]]</f>
        <v>0</v>
      </c>
      <c r="R1261" s="28">
        <f>data[[#This Row],[Cantidad]]*data[[#This Row],[Precio de Venta Cliente ($/Unid)]]</f>
        <v>149.30000000000001</v>
      </c>
      <c r="S1261" s="29"/>
      <c r="T1261" s="109" t="s">
        <v>16</v>
      </c>
      <c r="U1261" s="109"/>
      <c r="V1261" s="30" t="s">
        <v>42</v>
      </c>
      <c r="W1261" s="32" t="s">
        <v>42</v>
      </c>
      <c r="X1261" s="106" t="s">
        <v>23</v>
      </c>
      <c r="Y1261" s="106" t="s">
        <v>23</v>
      </c>
      <c r="Z1261" s="106" t="s">
        <v>12</v>
      </c>
      <c r="AA1261" s="109"/>
    </row>
    <row r="1262" spans="2:27" s="105" customFormat="1" x14ac:dyDescent="0.25">
      <c r="B1262" s="192"/>
      <c r="C1262" s="192" t="str">
        <f>TEXT(data[[#This Row],[Fecha de Envío
Cotización]],"MMMM")</f>
        <v>junio</v>
      </c>
      <c r="D1262" s="192">
        <v>44363</v>
      </c>
      <c r="E1262" s="174" t="str">
        <f>IF(data[[#This Row],[Estatus de 
Cotización]]="PERDIDO","N/A","")</f>
        <v>N/A</v>
      </c>
      <c r="F1262" s="192"/>
      <c r="G1262" s="109"/>
      <c r="H1262" s="192"/>
      <c r="I1262" s="86"/>
      <c r="J1262" s="87">
        <v>62596</v>
      </c>
      <c r="K1262" s="110" t="s">
        <v>130</v>
      </c>
      <c r="L1262" s="106"/>
      <c r="M1262" s="105" t="s">
        <v>2490</v>
      </c>
      <c r="N1262" s="106">
        <v>2</v>
      </c>
      <c r="O1262" s="107"/>
      <c r="P1262" s="27">
        <v>213.27</v>
      </c>
      <c r="Q1262" s="28">
        <f>data[[#This Row],[Costo Producto
Proveedor ($/Unid)]]*data[[#This Row],[Cantidad]]</f>
        <v>0</v>
      </c>
      <c r="R1262" s="28">
        <f>data[[#This Row],[Cantidad]]*data[[#This Row],[Precio de Venta Cliente ($/Unid)]]</f>
        <v>426.54</v>
      </c>
      <c r="S1262" s="29"/>
      <c r="T1262" s="109" t="s">
        <v>36</v>
      </c>
      <c r="U1262" s="109"/>
      <c r="V1262" s="30" t="s">
        <v>42</v>
      </c>
      <c r="W1262" s="32" t="s">
        <v>42</v>
      </c>
      <c r="X1262" s="106" t="s">
        <v>23</v>
      </c>
      <c r="Y1262" s="106" t="s">
        <v>23</v>
      </c>
      <c r="Z1262" s="106" t="s">
        <v>12</v>
      </c>
      <c r="AA1262" s="109"/>
    </row>
    <row r="1263" spans="2:27" s="105" customFormat="1" x14ac:dyDescent="0.25">
      <c r="B1263" s="192"/>
      <c r="C1263" s="192" t="str">
        <f>TEXT(data[[#This Row],[Fecha de Envío
Cotización]],"MMMM")</f>
        <v>junio</v>
      </c>
      <c r="D1263" s="192">
        <v>44363</v>
      </c>
      <c r="E1263" s="174" t="str">
        <f>IF(data[[#This Row],[Estatus de 
Cotización]]="PERDIDO","N/A","")</f>
        <v>N/A</v>
      </c>
      <c r="F1263" s="192"/>
      <c r="G1263" s="109"/>
      <c r="H1263" s="192"/>
      <c r="I1263" s="86"/>
      <c r="J1263" s="87">
        <v>62596</v>
      </c>
      <c r="K1263" s="110" t="s">
        <v>130</v>
      </c>
      <c r="L1263" s="106"/>
      <c r="M1263" s="105" t="s">
        <v>1908</v>
      </c>
      <c r="N1263" s="106">
        <v>11</v>
      </c>
      <c r="O1263" s="107"/>
      <c r="P1263" s="27">
        <v>5.6</v>
      </c>
      <c r="Q1263" s="28">
        <f>data[[#This Row],[Costo Producto
Proveedor ($/Unid)]]*data[[#This Row],[Cantidad]]</f>
        <v>0</v>
      </c>
      <c r="R1263" s="28">
        <f>data[[#This Row],[Cantidad]]*data[[#This Row],[Precio de Venta Cliente ($/Unid)]]</f>
        <v>61.599999999999994</v>
      </c>
      <c r="S1263" s="29"/>
      <c r="T1263" s="109" t="s">
        <v>16</v>
      </c>
      <c r="U1263" s="109"/>
      <c r="V1263" s="30" t="s">
        <v>42</v>
      </c>
      <c r="W1263" s="32" t="s">
        <v>42</v>
      </c>
      <c r="X1263" s="106" t="s">
        <v>23</v>
      </c>
      <c r="Y1263" s="106" t="s">
        <v>23</v>
      </c>
      <c r="Z1263" s="106" t="s">
        <v>12</v>
      </c>
      <c r="AA1263" s="109"/>
    </row>
    <row r="1264" spans="2:27" s="105" customFormat="1" x14ac:dyDescent="0.25">
      <c r="B1264" s="192"/>
      <c r="C1264" s="192" t="str">
        <f>TEXT(data[[#This Row],[Fecha de Envío
Cotización]],"MMMM")</f>
        <v>junio</v>
      </c>
      <c r="D1264" s="192">
        <v>44363</v>
      </c>
      <c r="E1264" s="174" t="str">
        <f>IF(data[[#This Row],[Estatus de 
Cotización]]="PERDIDO","N/A","")</f>
        <v>N/A</v>
      </c>
      <c r="F1264" s="192"/>
      <c r="G1264" s="109"/>
      <c r="H1264" s="192"/>
      <c r="I1264" s="86"/>
      <c r="J1264" s="87">
        <v>62596</v>
      </c>
      <c r="K1264" s="110" t="s">
        <v>130</v>
      </c>
      <c r="L1264" s="106"/>
      <c r="M1264" s="105" t="s">
        <v>2491</v>
      </c>
      <c r="N1264" s="106">
        <v>15</v>
      </c>
      <c r="O1264" s="107"/>
      <c r="P1264" s="27">
        <v>2.39</v>
      </c>
      <c r="Q1264" s="28">
        <f>data[[#This Row],[Costo Producto
Proveedor ($/Unid)]]*data[[#This Row],[Cantidad]]</f>
        <v>0</v>
      </c>
      <c r="R1264" s="28">
        <f>data[[#This Row],[Cantidad]]*data[[#This Row],[Precio de Venta Cliente ($/Unid)]]</f>
        <v>35.85</v>
      </c>
      <c r="S1264" s="29"/>
      <c r="T1264" s="109" t="s">
        <v>36</v>
      </c>
      <c r="U1264" s="109"/>
      <c r="V1264" s="30" t="s">
        <v>42</v>
      </c>
      <c r="W1264" s="32" t="s">
        <v>42</v>
      </c>
      <c r="X1264" s="106" t="s">
        <v>23</v>
      </c>
      <c r="Y1264" s="106" t="s">
        <v>23</v>
      </c>
      <c r="Z1264" s="106" t="s">
        <v>12</v>
      </c>
      <c r="AA1264" s="109"/>
    </row>
    <row r="1265" spans="2:27" s="105" customFormat="1" x14ac:dyDescent="0.25">
      <c r="B1265" s="192"/>
      <c r="C1265" s="192" t="str">
        <f>TEXT(data[[#This Row],[Fecha de Envío
Cotización]],"MMMM")</f>
        <v>junio</v>
      </c>
      <c r="D1265" s="192">
        <v>44363</v>
      </c>
      <c r="E1265" s="174" t="str">
        <f>IF(data[[#This Row],[Estatus de 
Cotización]]="PERDIDO","N/A","")</f>
        <v>N/A</v>
      </c>
      <c r="F1265" s="192"/>
      <c r="G1265" s="109"/>
      <c r="H1265" s="192"/>
      <c r="I1265" s="86"/>
      <c r="J1265" s="87">
        <v>62596</v>
      </c>
      <c r="K1265" s="110" t="s">
        <v>130</v>
      </c>
      <c r="L1265" s="106"/>
      <c r="M1265" s="105" t="s">
        <v>2492</v>
      </c>
      <c r="N1265" s="106">
        <v>15</v>
      </c>
      <c r="O1265" s="107"/>
      <c r="P1265" s="27">
        <v>3.2</v>
      </c>
      <c r="Q1265" s="28">
        <f>data[[#This Row],[Costo Producto
Proveedor ($/Unid)]]*data[[#This Row],[Cantidad]]</f>
        <v>0</v>
      </c>
      <c r="R1265" s="28">
        <f>data[[#This Row],[Cantidad]]*data[[#This Row],[Precio de Venta Cliente ($/Unid)]]</f>
        <v>48</v>
      </c>
      <c r="S1265" s="29"/>
      <c r="T1265" s="109" t="s">
        <v>36</v>
      </c>
      <c r="U1265" s="109"/>
      <c r="V1265" s="30" t="s">
        <v>42</v>
      </c>
      <c r="W1265" s="32" t="s">
        <v>42</v>
      </c>
      <c r="X1265" s="106" t="s">
        <v>23</v>
      </c>
      <c r="Y1265" s="106" t="s">
        <v>23</v>
      </c>
      <c r="Z1265" s="106" t="s">
        <v>12</v>
      </c>
      <c r="AA1265" s="109"/>
    </row>
    <row r="1266" spans="2:27" s="105" customFormat="1" x14ac:dyDescent="0.25">
      <c r="B1266" s="192"/>
      <c r="C1266" s="192" t="str">
        <f>TEXT(data[[#This Row],[Fecha de Envío
Cotización]],"MMMM")</f>
        <v>junio</v>
      </c>
      <c r="D1266" s="192">
        <v>44363</v>
      </c>
      <c r="E1266" s="174" t="str">
        <f>IF(data[[#This Row],[Estatus de 
Cotización]]="PERDIDO","N/A","")</f>
        <v>N/A</v>
      </c>
      <c r="F1266" s="192"/>
      <c r="G1266" s="109"/>
      <c r="H1266" s="192"/>
      <c r="I1266" s="86"/>
      <c r="J1266" s="87">
        <v>62596</v>
      </c>
      <c r="K1266" s="110" t="s">
        <v>130</v>
      </c>
      <c r="L1266" s="106"/>
      <c r="M1266" s="105" t="s">
        <v>2493</v>
      </c>
      <c r="N1266" s="106">
        <v>4</v>
      </c>
      <c r="O1266" s="107"/>
      <c r="P1266" s="27">
        <v>76.510000000000005</v>
      </c>
      <c r="Q1266" s="28">
        <f>data[[#This Row],[Costo Producto
Proveedor ($/Unid)]]*data[[#This Row],[Cantidad]]</f>
        <v>0</v>
      </c>
      <c r="R1266" s="28">
        <f>data[[#This Row],[Cantidad]]*data[[#This Row],[Precio de Venta Cliente ($/Unid)]]</f>
        <v>306.04000000000002</v>
      </c>
      <c r="S1266" s="29"/>
      <c r="T1266" s="109" t="s">
        <v>36</v>
      </c>
      <c r="U1266" s="109"/>
      <c r="V1266" s="30" t="s">
        <v>42</v>
      </c>
      <c r="W1266" s="32" t="s">
        <v>42</v>
      </c>
      <c r="X1266" s="106" t="s">
        <v>23</v>
      </c>
      <c r="Y1266" s="106" t="s">
        <v>23</v>
      </c>
      <c r="Z1266" s="106" t="s">
        <v>12</v>
      </c>
      <c r="AA1266" s="109"/>
    </row>
    <row r="1267" spans="2:27" x14ac:dyDescent="0.25">
      <c r="B1267" s="192"/>
      <c r="C1267" s="192" t="str">
        <f>TEXT(data[[#This Row],[Fecha de Envío
Cotización]],"MMMM")</f>
        <v>junio</v>
      </c>
      <c r="D1267" s="192">
        <v>44363</v>
      </c>
      <c r="E1267" s="174" t="str">
        <f>IF(data[[#This Row],[Estatus de 
Cotización]]="PERDIDO","N/A","")</f>
        <v/>
      </c>
      <c r="F1267" s="192"/>
      <c r="G1267" s="109"/>
      <c r="H1267" s="192"/>
      <c r="I1267" s="86" t="s">
        <v>2200</v>
      </c>
      <c r="J1267" s="87">
        <v>801</v>
      </c>
      <c r="K1267" s="110" t="s">
        <v>59</v>
      </c>
      <c r="L1267" s="106"/>
      <c r="M1267" t="s">
        <v>2201</v>
      </c>
      <c r="N1267" s="106">
        <v>1</v>
      </c>
      <c r="O1267" s="107"/>
      <c r="P1267" s="27">
        <v>126.81</v>
      </c>
      <c r="Q1267" s="28">
        <f>data[[#This Row],[Costo Producto
Proveedor ($/Unid)]]*data[[#This Row],[Cantidad]]</f>
        <v>0</v>
      </c>
      <c r="R1267" s="28">
        <f>data[[#This Row],[Cantidad]]*data[[#This Row],[Precio de Venta Cliente ($/Unid)]]</f>
        <v>126.81</v>
      </c>
      <c r="S1267" s="29"/>
      <c r="T1267" s="109" t="s">
        <v>36</v>
      </c>
      <c r="U1267" s="109"/>
      <c r="V1267" s="30" t="s">
        <v>46</v>
      </c>
      <c r="W1267" s="32" t="s">
        <v>46</v>
      </c>
      <c r="X1267" s="106" t="s">
        <v>503</v>
      </c>
      <c r="Y1267" s="106" t="s">
        <v>503</v>
      </c>
      <c r="Z1267" s="106" t="s">
        <v>12</v>
      </c>
      <c r="AA1267" s="109"/>
    </row>
    <row r="1268" spans="2:27" x14ac:dyDescent="0.25">
      <c r="B1268" s="192"/>
      <c r="C1268" s="192" t="str">
        <f>TEXT(data[[#This Row],[Fecha de Envío
Cotización]],"MMMM")</f>
        <v>junio</v>
      </c>
      <c r="D1268" s="192">
        <v>44363</v>
      </c>
      <c r="E1268" s="192"/>
      <c r="F1268" s="192"/>
      <c r="G1268" s="109"/>
      <c r="H1268" s="192"/>
      <c r="I1268" s="86" t="s">
        <v>2202</v>
      </c>
      <c r="J1268" s="87">
        <v>801</v>
      </c>
      <c r="K1268" s="110" t="s">
        <v>59</v>
      </c>
      <c r="L1268" s="106"/>
      <c r="M1268" t="s">
        <v>2217</v>
      </c>
      <c r="N1268" s="106">
        <v>1</v>
      </c>
      <c r="O1268" s="107"/>
      <c r="P1268" s="27">
        <v>173.55</v>
      </c>
      <c r="Q1268" s="28">
        <f>data[[#This Row],[Costo Producto
Proveedor ($/Unid)]]*data[[#This Row],[Cantidad]]</f>
        <v>0</v>
      </c>
      <c r="R1268" s="28">
        <f>data[[#This Row],[Cantidad]]*data[[#This Row],[Precio de Venta Cliente ($/Unid)]]</f>
        <v>173.55</v>
      </c>
      <c r="S1268" s="29"/>
      <c r="T1268" s="109" t="s">
        <v>36</v>
      </c>
      <c r="U1268" s="109"/>
      <c r="V1268" s="30" t="s">
        <v>46</v>
      </c>
      <c r="W1268" s="32" t="s">
        <v>46</v>
      </c>
      <c r="X1268" s="106" t="s">
        <v>503</v>
      </c>
      <c r="Y1268" s="106" t="s">
        <v>503</v>
      </c>
      <c r="Z1268" s="106" t="s">
        <v>12</v>
      </c>
      <c r="AA1268" s="109"/>
    </row>
    <row r="1269" spans="2:27" x14ac:dyDescent="0.25">
      <c r="B1269" s="192"/>
      <c r="C1269" s="192" t="str">
        <f>TEXT(data[[#This Row],[Fecha de Envío
Cotización]],"MMMM")</f>
        <v>junio</v>
      </c>
      <c r="D1269" s="192">
        <v>44363</v>
      </c>
      <c r="E1269" s="192"/>
      <c r="F1269" s="192"/>
      <c r="G1269" s="109"/>
      <c r="H1269" s="192"/>
      <c r="I1269" s="86" t="s">
        <v>2203</v>
      </c>
      <c r="J1269" s="87">
        <v>801</v>
      </c>
      <c r="K1269" s="110" t="s">
        <v>59</v>
      </c>
      <c r="L1269" s="106"/>
      <c r="M1269" t="s">
        <v>2218</v>
      </c>
      <c r="N1269" s="106">
        <v>1</v>
      </c>
      <c r="O1269" s="107"/>
      <c r="P1269" s="27">
        <v>169.22</v>
      </c>
      <c r="Q1269" s="28">
        <f>data[[#This Row],[Costo Producto
Proveedor ($/Unid)]]*data[[#This Row],[Cantidad]]</f>
        <v>0</v>
      </c>
      <c r="R1269" s="28">
        <f>data[[#This Row],[Cantidad]]*data[[#This Row],[Precio de Venta Cliente ($/Unid)]]</f>
        <v>169.22</v>
      </c>
      <c r="S1269" s="29"/>
      <c r="T1269" s="109" t="s">
        <v>36</v>
      </c>
      <c r="U1269" s="109"/>
      <c r="V1269" s="30" t="s">
        <v>46</v>
      </c>
      <c r="W1269" s="32" t="s">
        <v>46</v>
      </c>
      <c r="X1269" s="106" t="s">
        <v>503</v>
      </c>
      <c r="Y1269" s="106" t="s">
        <v>503</v>
      </c>
      <c r="Z1269" s="106" t="s">
        <v>12</v>
      </c>
      <c r="AA1269" s="109"/>
    </row>
    <row r="1270" spans="2:27" x14ac:dyDescent="0.25">
      <c r="B1270" s="192"/>
      <c r="C1270" s="192" t="str">
        <f>TEXT(data[[#This Row],[Fecha de Envío
Cotización]],"MMMM")</f>
        <v>junio</v>
      </c>
      <c r="D1270" s="192">
        <v>44363</v>
      </c>
      <c r="E1270" s="192"/>
      <c r="F1270" s="192"/>
      <c r="G1270" s="109"/>
      <c r="H1270" s="192"/>
      <c r="I1270" s="86" t="s">
        <v>2204</v>
      </c>
      <c r="J1270" s="87">
        <v>801</v>
      </c>
      <c r="K1270" s="110" t="s">
        <v>59</v>
      </c>
      <c r="L1270" s="106"/>
      <c r="M1270" t="s">
        <v>2219</v>
      </c>
      <c r="N1270" s="106">
        <v>2</v>
      </c>
      <c r="O1270" s="107"/>
      <c r="P1270" s="27">
        <v>84.73</v>
      </c>
      <c r="Q1270" s="28">
        <f>data[[#This Row],[Costo Producto
Proveedor ($/Unid)]]*data[[#This Row],[Cantidad]]</f>
        <v>0</v>
      </c>
      <c r="R1270" s="28">
        <f>data[[#This Row],[Cantidad]]*data[[#This Row],[Precio de Venta Cliente ($/Unid)]]</f>
        <v>169.46</v>
      </c>
      <c r="S1270" s="29"/>
      <c r="T1270" s="109" t="s">
        <v>36</v>
      </c>
      <c r="U1270" s="109"/>
      <c r="V1270" s="30" t="s">
        <v>46</v>
      </c>
      <c r="W1270" s="32" t="s">
        <v>46</v>
      </c>
      <c r="X1270" s="106" t="s">
        <v>503</v>
      </c>
      <c r="Y1270" s="106" t="s">
        <v>503</v>
      </c>
      <c r="Z1270" s="106" t="s">
        <v>12</v>
      </c>
      <c r="AA1270" s="109"/>
    </row>
    <row r="1271" spans="2:27" x14ac:dyDescent="0.25">
      <c r="B1271" s="192"/>
      <c r="C1271" s="192" t="str">
        <f>TEXT(data[[#This Row],[Fecha de Envío
Cotización]],"MMMM")</f>
        <v>junio</v>
      </c>
      <c r="D1271" s="192">
        <v>44363</v>
      </c>
      <c r="E1271" s="192"/>
      <c r="F1271" s="192"/>
      <c r="G1271" s="109"/>
      <c r="H1271" s="192"/>
      <c r="I1271" s="86" t="s">
        <v>2205</v>
      </c>
      <c r="J1271" s="87">
        <v>801</v>
      </c>
      <c r="K1271" s="110" t="s">
        <v>59</v>
      </c>
      <c r="L1271" s="106"/>
      <c r="M1271" t="s">
        <v>2220</v>
      </c>
      <c r="N1271" s="106">
        <v>2</v>
      </c>
      <c r="O1271" s="107"/>
      <c r="P1271" s="27">
        <v>70.22</v>
      </c>
      <c r="Q1271" s="28">
        <f>data[[#This Row],[Costo Producto
Proveedor ($/Unid)]]*data[[#This Row],[Cantidad]]</f>
        <v>0</v>
      </c>
      <c r="R1271" s="28">
        <f>data[[#This Row],[Cantidad]]*data[[#This Row],[Precio de Venta Cliente ($/Unid)]]</f>
        <v>140.44</v>
      </c>
      <c r="S1271" s="29"/>
      <c r="T1271" s="109" t="s">
        <v>36</v>
      </c>
      <c r="U1271" s="109"/>
      <c r="V1271" s="30" t="s">
        <v>46</v>
      </c>
      <c r="W1271" s="32" t="s">
        <v>46</v>
      </c>
      <c r="X1271" s="106" t="s">
        <v>503</v>
      </c>
      <c r="Y1271" s="106" t="s">
        <v>503</v>
      </c>
      <c r="Z1271" s="106" t="s">
        <v>12</v>
      </c>
      <c r="AA1271" s="109"/>
    </row>
    <row r="1272" spans="2:27" x14ac:dyDescent="0.25">
      <c r="B1272" s="192"/>
      <c r="C1272" s="192" t="str">
        <f>TEXT(data[[#This Row],[Fecha de Envío
Cotización]],"MMMM")</f>
        <v>junio</v>
      </c>
      <c r="D1272" s="192">
        <v>44363</v>
      </c>
      <c r="E1272" s="192"/>
      <c r="F1272" s="192"/>
      <c r="G1272" s="109"/>
      <c r="H1272" s="192"/>
      <c r="I1272" s="86" t="s">
        <v>2206</v>
      </c>
      <c r="J1272" s="87">
        <v>801</v>
      </c>
      <c r="K1272" s="110" t="s">
        <v>59</v>
      </c>
      <c r="L1272" s="106"/>
      <c r="M1272" s="105" t="s">
        <v>2221</v>
      </c>
      <c r="N1272" s="106">
        <v>2</v>
      </c>
      <c r="O1272" s="107"/>
      <c r="P1272" s="27">
        <v>125.28</v>
      </c>
      <c r="Q1272" s="28">
        <f>data[[#This Row],[Costo Producto
Proveedor ($/Unid)]]*data[[#This Row],[Cantidad]]</f>
        <v>0</v>
      </c>
      <c r="R1272" s="28">
        <f>data[[#This Row],[Cantidad]]*data[[#This Row],[Precio de Venta Cliente ($/Unid)]]</f>
        <v>250.56</v>
      </c>
      <c r="S1272" s="29"/>
      <c r="T1272" s="109" t="s">
        <v>36</v>
      </c>
      <c r="U1272" s="109"/>
      <c r="V1272" s="30" t="s">
        <v>46</v>
      </c>
      <c r="W1272" s="32" t="s">
        <v>46</v>
      </c>
      <c r="X1272" s="106" t="s">
        <v>503</v>
      </c>
      <c r="Y1272" s="106" t="s">
        <v>503</v>
      </c>
      <c r="Z1272" s="106" t="s">
        <v>12</v>
      </c>
      <c r="AA1272" s="109"/>
    </row>
    <row r="1273" spans="2:27" x14ac:dyDescent="0.25">
      <c r="B1273" s="192"/>
      <c r="C1273" s="192" t="str">
        <f>TEXT(data[[#This Row],[Fecha de Envío
Cotización]],"MMMM")</f>
        <v>junio</v>
      </c>
      <c r="D1273" s="192">
        <v>44363</v>
      </c>
      <c r="E1273" s="192"/>
      <c r="F1273" s="192"/>
      <c r="G1273" s="109"/>
      <c r="H1273" s="192"/>
      <c r="I1273" s="86" t="s">
        <v>2207</v>
      </c>
      <c r="J1273" s="87">
        <v>801</v>
      </c>
      <c r="K1273" s="110" t="s">
        <v>59</v>
      </c>
      <c r="L1273" s="106"/>
      <c r="M1273" s="105" t="s">
        <v>2222</v>
      </c>
      <c r="N1273" s="106">
        <v>1</v>
      </c>
      <c r="O1273" s="107"/>
      <c r="P1273" s="27">
        <v>165.08</v>
      </c>
      <c r="Q1273" s="28">
        <f>data[[#This Row],[Costo Producto
Proveedor ($/Unid)]]*data[[#This Row],[Cantidad]]</f>
        <v>0</v>
      </c>
      <c r="R1273" s="28">
        <f>data[[#This Row],[Cantidad]]*data[[#This Row],[Precio de Venta Cliente ($/Unid)]]</f>
        <v>165.08</v>
      </c>
      <c r="S1273" s="29"/>
      <c r="T1273" s="109" t="s">
        <v>36</v>
      </c>
      <c r="U1273" s="109"/>
      <c r="V1273" s="30" t="s">
        <v>46</v>
      </c>
      <c r="W1273" s="32" t="s">
        <v>46</v>
      </c>
      <c r="X1273" s="106" t="s">
        <v>503</v>
      </c>
      <c r="Y1273" s="106" t="s">
        <v>503</v>
      </c>
      <c r="Z1273" s="106" t="s">
        <v>12</v>
      </c>
      <c r="AA1273" s="109"/>
    </row>
    <row r="1274" spans="2:27" x14ac:dyDescent="0.25">
      <c r="B1274" s="192"/>
      <c r="C1274" s="192" t="str">
        <f>TEXT(data[[#This Row],[Fecha de Envío
Cotización]],"MMMM")</f>
        <v>junio</v>
      </c>
      <c r="D1274" s="192">
        <v>44363</v>
      </c>
      <c r="E1274" s="192"/>
      <c r="F1274" s="192"/>
      <c r="G1274" s="109"/>
      <c r="H1274" s="192"/>
      <c r="I1274" s="86" t="s">
        <v>2208</v>
      </c>
      <c r="J1274" s="87">
        <v>801</v>
      </c>
      <c r="K1274" s="110" t="s">
        <v>59</v>
      </c>
      <c r="L1274" s="106"/>
      <c r="M1274" s="105" t="s">
        <v>2223</v>
      </c>
      <c r="N1274" s="106">
        <v>2</v>
      </c>
      <c r="O1274" s="107"/>
      <c r="P1274" s="27">
        <v>234.44</v>
      </c>
      <c r="Q1274" s="28">
        <f>data[[#This Row],[Costo Producto
Proveedor ($/Unid)]]*data[[#This Row],[Cantidad]]</f>
        <v>0</v>
      </c>
      <c r="R1274" s="28">
        <f>data[[#This Row],[Cantidad]]*data[[#This Row],[Precio de Venta Cliente ($/Unid)]]</f>
        <v>468.88</v>
      </c>
      <c r="S1274" s="29"/>
      <c r="T1274" s="109" t="s">
        <v>36</v>
      </c>
      <c r="U1274" s="109"/>
      <c r="V1274" s="30" t="s">
        <v>46</v>
      </c>
      <c r="W1274" s="32" t="s">
        <v>46</v>
      </c>
      <c r="X1274" s="106" t="s">
        <v>503</v>
      </c>
      <c r="Y1274" s="106" t="s">
        <v>503</v>
      </c>
      <c r="Z1274" s="106" t="s">
        <v>12</v>
      </c>
      <c r="AA1274" s="109"/>
    </row>
    <row r="1275" spans="2:27" x14ac:dyDescent="0.25">
      <c r="B1275" s="192"/>
      <c r="C1275" s="192" t="str">
        <f>TEXT(data[[#This Row],[Fecha de Envío
Cotización]],"MMMM")</f>
        <v>junio</v>
      </c>
      <c r="D1275" s="192">
        <v>44363</v>
      </c>
      <c r="E1275" s="192"/>
      <c r="F1275" s="192"/>
      <c r="G1275" s="109"/>
      <c r="H1275" s="192"/>
      <c r="I1275" s="86" t="s">
        <v>2209</v>
      </c>
      <c r="J1275" s="87">
        <v>801</v>
      </c>
      <c r="K1275" s="110" t="s">
        <v>59</v>
      </c>
      <c r="L1275" s="106"/>
      <c r="M1275" s="105" t="s">
        <v>2224</v>
      </c>
      <c r="N1275" s="106">
        <v>2</v>
      </c>
      <c r="O1275" s="107"/>
      <c r="P1275" s="27">
        <v>341.8</v>
      </c>
      <c r="Q1275" s="28">
        <f>data[[#This Row],[Costo Producto
Proveedor ($/Unid)]]*data[[#This Row],[Cantidad]]</f>
        <v>0</v>
      </c>
      <c r="R1275" s="28">
        <f>data[[#This Row],[Cantidad]]*data[[#This Row],[Precio de Venta Cliente ($/Unid)]]</f>
        <v>683.6</v>
      </c>
      <c r="S1275" s="29"/>
      <c r="T1275" s="109" t="s">
        <v>36</v>
      </c>
      <c r="U1275" s="109"/>
      <c r="V1275" s="30" t="s">
        <v>46</v>
      </c>
      <c r="W1275" s="32" t="s">
        <v>46</v>
      </c>
      <c r="X1275" s="106" t="s">
        <v>503</v>
      </c>
      <c r="Y1275" s="106" t="s">
        <v>503</v>
      </c>
      <c r="Z1275" s="106" t="s">
        <v>12</v>
      </c>
      <c r="AA1275" s="109"/>
    </row>
    <row r="1276" spans="2:27" x14ac:dyDescent="0.25">
      <c r="B1276" s="192"/>
      <c r="C1276" s="192" t="str">
        <f>TEXT(data[[#This Row],[Fecha de Envío
Cotización]],"MMMM")</f>
        <v>junio</v>
      </c>
      <c r="D1276" s="192">
        <v>44363</v>
      </c>
      <c r="E1276" s="192"/>
      <c r="F1276" s="192"/>
      <c r="G1276" s="109"/>
      <c r="H1276" s="192"/>
      <c r="I1276" s="86" t="s">
        <v>2210</v>
      </c>
      <c r="J1276" s="87">
        <v>801</v>
      </c>
      <c r="K1276" s="110" t="s">
        <v>59</v>
      </c>
      <c r="L1276" s="106"/>
      <c r="M1276" t="s">
        <v>2225</v>
      </c>
      <c r="N1276" s="106">
        <v>2</v>
      </c>
      <c r="O1276" s="107"/>
      <c r="P1276" s="27">
        <v>218.1</v>
      </c>
      <c r="Q1276" s="28">
        <f>data[[#This Row],[Costo Producto
Proveedor ($/Unid)]]*data[[#This Row],[Cantidad]]</f>
        <v>0</v>
      </c>
      <c r="R1276" s="28">
        <f>data[[#This Row],[Cantidad]]*data[[#This Row],[Precio de Venta Cliente ($/Unid)]]</f>
        <v>436.2</v>
      </c>
      <c r="S1276" s="29"/>
      <c r="T1276" s="109" t="s">
        <v>36</v>
      </c>
      <c r="U1276" s="109"/>
      <c r="V1276" s="30" t="s">
        <v>46</v>
      </c>
      <c r="W1276" s="32" t="s">
        <v>46</v>
      </c>
      <c r="X1276" s="106" t="s">
        <v>503</v>
      </c>
      <c r="Y1276" s="106" t="s">
        <v>503</v>
      </c>
      <c r="Z1276" s="106" t="s">
        <v>12</v>
      </c>
      <c r="AA1276" s="109"/>
    </row>
    <row r="1277" spans="2:27" x14ac:dyDescent="0.25">
      <c r="B1277" s="192"/>
      <c r="C1277" s="192" t="str">
        <f>TEXT(data[[#This Row],[Fecha de Envío
Cotización]],"MMMM")</f>
        <v>junio</v>
      </c>
      <c r="D1277" s="192">
        <v>44363</v>
      </c>
      <c r="E1277" s="192"/>
      <c r="F1277" s="192"/>
      <c r="G1277" s="109"/>
      <c r="H1277" s="192"/>
      <c r="I1277" s="86" t="s">
        <v>2211</v>
      </c>
      <c r="J1277" s="87">
        <v>801</v>
      </c>
      <c r="K1277" s="110" t="s">
        <v>59</v>
      </c>
      <c r="L1277" s="106"/>
      <c r="M1277" t="s">
        <v>2226</v>
      </c>
      <c r="N1277" s="106">
        <v>1</v>
      </c>
      <c r="O1277" s="107"/>
      <c r="P1277" s="27">
        <v>100.11</v>
      </c>
      <c r="Q1277" s="28">
        <f>data[[#This Row],[Costo Producto
Proveedor ($/Unid)]]*data[[#This Row],[Cantidad]]</f>
        <v>0</v>
      </c>
      <c r="R1277" s="28">
        <f>data[[#This Row],[Cantidad]]*data[[#This Row],[Precio de Venta Cliente ($/Unid)]]</f>
        <v>100.11</v>
      </c>
      <c r="S1277" s="29"/>
      <c r="T1277" s="109" t="s">
        <v>36</v>
      </c>
      <c r="U1277" s="109"/>
      <c r="V1277" s="30" t="s">
        <v>46</v>
      </c>
      <c r="W1277" s="32" t="s">
        <v>46</v>
      </c>
      <c r="X1277" s="106" t="s">
        <v>503</v>
      </c>
      <c r="Y1277" s="106" t="s">
        <v>503</v>
      </c>
      <c r="Z1277" s="106" t="s">
        <v>12</v>
      </c>
      <c r="AA1277" s="109"/>
    </row>
    <row r="1278" spans="2:27" x14ac:dyDescent="0.25">
      <c r="B1278" s="192"/>
      <c r="C1278" s="192" t="str">
        <f>TEXT(data[[#This Row],[Fecha de Envío
Cotización]],"MMMM")</f>
        <v>junio</v>
      </c>
      <c r="D1278" s="192">
        <v>44363</v>
      </c>
      <c r="E1278" s="192"/>
      <c r="F1278" s="192"/>
      <c r="G1278" s="109"/>
      <c r="H1278" s="192"/>
      <c r="I1278" s="86" t="s">
        <v>2211</v>
      </c>
      <c r="J1278" s="87">
        <v>801</v>
      </c>
      <c r="K1278" s="110" t="s">
        <v>59</v>
      </c>
      <c r="L1278" s="106"/>
      <c r="M1278" t="s">
        <v>2227</v>
      </c>
      <c r="N1278" s="106">
        <v>1</v>
      </c>
      <c r="O1278" s="107"/>
      <c r="P1278" s="27">
        <v>76.510000000000005</v>
      </c>
      <c r="Q1278" s="28">
        <f>data[[#This Row],[Costo Producto
Proveedor ($/Unid)]]*data[[#This Row],[Cantidad]]</f>
        <v>0</v>
      </c>
      <c r="R1278" s="28">
        <f>data[[#This Row],[Cantidad]]*data[[#This Row],[Precio de Venta Cliente ($/Unid)]]</f>
        <v>76.510000000000005</v>
      </c>
      <c r="S1278" s="29"/>
      <c r="T1278" s="109" t="s">
        <v>36</v>
      </c>
      <c r="U1278" s="109"/>
      <c r="V1278" s="30" t="s">
        <v>46</v>
      </c>
      <c r="W1278" s="32" t="s">
        <v>46</v>
      </c>
      <c r="X1278" s="106" t="s">
        <v>503</v>
      </c>
      <c r="Y1278" s="106" t="s">
        <v>503</v>
      </c>
      <c r="Z1278" s="106" t="s">
        <v>12</v>
      </c>
      <c r="AA1278" s="109"/>
    </row>
    <row r="1279" spans="2:27" x14ac:dyDescent="0.25">
      <c r="B1279" s="192"/>
      <c r="C1279" s="192" t="str">
        <f>TEXT(data[[#This Row],[Fecha de Envío
Cotización]],"MMMM")</f>
        <v>junio</v>
      </c>
      <c r="D1279" s="192">
        <v>44363</v>
      </c>
      <c r="E1279" s="192"/>
      <c r="F1279" s="192"/>
      <c r="G1279" s="109"/>
      <c r="H1279" s="192"/>
      <c r="I1279" s="86" t="s">
        <v>2212</v>
      </c>
      <c r="J1279" s="87">
        <v>801</v>
      </c>
      <c r="K1279" s="110" t="s">
        <v>59</v>
      </c>
      <c r="L1279" s="106"/>
      <c r="M1279" t="s">
        <v>2228</v>
      </c>
      <c r="N1279" s="106">
        <v>1</v>
      </c>
      <c r="O1279" s="107"/>
      <c r="P1279" s="27">
        <v>74.930000000000007</v>
      </c>
      <c r="Q1279" s="28">
        <f>data[[#This Row],[Costo Producto
Proveedor ($/Unid)]]*data[[#This Row],[Cantidad]]</f>
        <v>0</v>
      </c>
      <c r="R1279" s="28">
        <f>data[[#This Row],[Cantidad]]*data[[#This Row],[Precio de Venta Cliente ($/Unid)]]</f>
        <v>74.930000000000007</v>
      </c>
      <c r="S1279" s="29"/>
      <c r="T1279" s="109" t="s">
        <v>36</v>
      </c>
      <c r="U1279" s="109"/>
      <c r="V1279" s="30" t="s">
        <v>46</v>
      </c>
      <c r="W1279" s="32" t="s">
        <v>46</v>
      </c>
      <c r="X1279" s="106" t="s">
        <v>503</v>
      </c>
      <c r="Y1279" s="106" t="s">
        <v>503</v>
      </c>
      <c r="Z1279" s="106" t="s">
        <v>12</v>
      </c>
      <c r="AA1279" s="109"/>
    </row>
    <row r="1280" spans="2:27" x14ac:dyDescent="0.25">
      <c r="B1280" s="192"/>
      <c r="C1280" s="192" t="str">
        <f>TEXT(data[[#This Row],[Fecha de Envío
Cotización]],"MMMM")</f>
        <v>junio</v>
      </c>
      <c r="D1280" s="192">
        <v>44363</v>
      </c>
      <c r="E1280" s="192"/>
      <c r="F1280" s="192"/>
      <c r="G1280" s="109"/>
      <c r="H1280" s="192"/>
      <c r="I1280" s="86" t="s">
        <v>2213</v>
      </c>
      <c r="J1280" s="87">
        <v>801</v>
      </c>
      <c r="K1280" s="110" t="s">
        <v>59</v>
      </c>
      <c r="L1280" s="106"/>
      <c r="M1280" t="s">
        <v>2229</v>
      </c>
      <c r="N1280" s="106">
        <v>1</v>
      </c>
      <c r="O1280" s="107"/>
      <c r="P1280" s="27">
        <v>136.29</v>
      </c>
      <c r="Q1280" s="28">
        <f>data[[#This Row],[Costo Producto
Proveedor ($/Unid)]]*data[[#This Row],[Cantidad]]</f>
        <v>0</v>
      </c>
      <c r="R1280" s="28">
        <f>data[[#This Row],[Cantidad]]*data[[#This Row],[Precio de Venta Cliente ($/Unid)]]</f>
        <v>136.29</v>
      </c>
      <c r="S1280" s="29"/>
      <c r="T1280" s="109" t="s">
        <v>36</v>
      </c>
      <c r="U1280" s="109"/>
      <c r="V1280" s="30" t="s">
        <v>46</v>
      </c>
      <c r="W1280" s="32" t="s">
        <v>46</v>
      </c>
      <c r="X1280" s="106" t="s">
        <v>503</v>
      </c>
      <c r="Y1280" s="106" t="s">
        <v>503</v>
      </c>
      <c r="Z1280" s="106" t="s">
        <v>12</v>
      </c>
      <c r="AA1280" s="109"/>
    </row>
    <row r="1281" spans="2:27" x14ac:dyDescent="0.25">
      <c r="B1281" s="192"/>
      <c r="C1281" s="192" t="str">
        <f>TEXT(data[[#This Row],[Fecha de Envío
Cotización]],"MMMM")</f>
        <v>junio</v>
      </c>
      <c r="D1281" s="192">
        <v>44363</v>
      </c>
      <c r="E1281" s="192"/>
      <c r="F1281" s="192"/>
      <c r="G1281" s="109"/>
      <c r="H1281" s="192"/>
      <c r="I1281" s="86" t="s">
        <v>2214</v>
      </c>
      <c r="J1281" s="87">
        <v>801</v>
      </c>
      <c r="K1281" s="110" t="s">
        <v>59</v>
      </c>
      <c r="L1281" s="106"/>
      <c r="M1281" t="s">
        <v>2230</v>
      </c>
      <c r="N1281" s="106">
        <v>1</v>
      </c>
      <c r="O1281" s="107"/>
      <c r="P1281" s="27">
        <v>137.86000000000001</v>
      </c>
      <c r="Q1281" s="28">
        <f>data[[#This Row],[Costo Producto
Proveedor ($/Unid)]]*data[[#This Row],[Cantidad]]</f>
        <v>0</v>
      </c>
      <c r="R1281" s="28">
        <f>data[[#This Row],[Cantidad]]*data[[#This Row],[Precio de Venta Cliente ($/Unid)]]</f>
        <v>137.86000000000001</v>
      </c>
      <c r="S1281" s="29"/>
      <c r="T1281" s="109" t="s">
        <v>36</v>
      </c>
      <c r="U1281" s="109"/>
      <c r="V1281" s="30" t="s">
        <v>46</v>
      </c>
      <c r="W1281" s="32" t="s">
        <v>46</v>
      </c>
      <c r="X1281" s="106" t="s">
        <v>503</v>
      </c>
      <c r="Y1281" s="106" t="s">
        <v>503</v>
      </c>
      <c r="Z1281" s="106" t="s">
        <v>12</v>
      </c>
      <c r="AA1281" s="109"/>
    </row>
    <row r="1282" spans="2:27" x14ac:dyDescent="0.25">
      <c r="B1282" s="192"/>
      <c r="C1282" s="192" t="str">
        <f>TEXT(data[[#This Row],[Fecha de Envío
Cotización]],"MMMM")</f>
        <v>junio</v>
      </c>
      <c r="D1282" s="192">
        <v>44363</v>
      </c>
      <c r="E1282" s="192"/>
      <c r="F1282" s="192"/>
      <c r="G1282" s="109"/>
      <c r="H1282" s="192"/>
      <c r="I1282" s="86" t="s">
        <v>2215</v>
      </c>
      <c r="J1282" s="87">
        <v>801</v>
      </c>
      <c r="K1282" s="110" t="s">
        <v>59</v>
      </c>
      <c r="L1282" s="106"/>
      <c r="M1282" s="105" t="s">
        <v>2231</v>
      </c>
      <c r="N1282" s="106">
        <v>50</v>
      </c>
      <c r="O1282" s="107"/>
      <c r="P1282" s="27">
        <v>12.9</v>
      </c>
      <c r="Q1282" s="28">
        <f>data[[#This Row],[Costo Producto
Proveedor ($/Unid)]]*data[[#This Row],[Cantidad]]</f>
        <v>0</v>
      </c>
      <c r="R1282" s="28">
        <f>data[[#This Row],[Cantidad]]*data[[#This Row],[Precio de Venta Cliente ($/Unid)]]</f>
        <v>645</v>
      </c>
      <c r="S1282" s="29"/>
      <c r="T1282" s="109" t="s">
        <v>36</v>
      </c>
      <c r="U1282" s="109"/>
      <c r="V1282" s="30" t="s">
        <v>46</v>
      </c>
      <c r="W1282" s="32" t="s">
        <v>46</v>
      </c>
      <c r="X1282" s="106" t="s">
        <v>503</v>
      </c>
      <c r="Y1282" s="106" t="s">
        <v>503</v>
      </c>
      <c r="Z1282" s="106" t="s">
        <v>12</v>
      </c>
      <c r="AA1282" s="109"/>
    </row>
    <row r="1283" spans="2:27" x14ac:dyDescent="0.25">
      <c r="B1283" s="192"/>
      <c r="C1283" s="192" t="str">
        <f>TEXT(data[[#This Row],[Fecha de Envío
Cotización]],"MMMM")</f>
        <v>junio</v>
      </c>
      <c r="D1283" s="192">
        <v>44363</v>
      </c>
      <c r="E1283" s="192"/>
      <c r="F1283" s="192"/>
      <c r="G1283" s="109"/>
      <c r="H1283" s="192"/>
      <c r="I1283" s="86" t="s">
        <v>2216</v>
      </c>
      <c r="J1283" s="87">
        <v>801</v>
      </c>
      <c r="K1283" s="110" t="s">
        <v>59</v>
      </c>
      <c r="L1283" s="106"/>
      <c r="M1283" s="105" t="s">
        <v>2232</v>
      </c>
      <c r="N1283" s="106">
        <v>50</v>
      </c>
      <c r="O1283" s="107"/>
      <c r="P1283" s="27">
        <v>11.22</v>
      </c>
      <c r="Q1283" s="28">
        <f>data[[#This Row],[Costo Producto
Proveedor ($/Unid)]]*data[[#This Row],[Cantidad]]</f>
        <v>0</v>
      </c>
      <c r="R1283" s="28">
        <f>data[[#This Row],[Cantidad]]*data[[#This Row],[Precio de Venta Cliente ($/Unid)]]</f>
        <v>561</v>
      </c>
      <c r="S1283" s="29"/>
      <c r="T1283" s="109" t="s">
        <v>36</v>
      </c>
      <c r="U1283" s="109"/>
      <c r="V1283" s="30" t="s">
        <v>46</v>
      </c>
      <c r="W1283" s="32" t="s">
        <v>46</v>
      </c>
      <c r="X1283" s="106" t="s">
        <v>503</v>
      </c>
      <c r="Y1283" s="106" t="s">
        <v>503</v>
      </c>
      <c r="Z1283" s="106" t="s">
        <v>12</v>
      </c>
      <c r="AA1283" s="109"/>
    </row>
    <row r="1284" spans="2:27" x14ac:dyDescent="0.25">
      <c r="B1284" s="192"/>
      <c r="C1284" s="192" t="str">
        <f>TEXT(data[[#This Row],[Fecha de Envío
Cotización]],"MMMM")</f>
        <v>junio</v>
      </c>
      <c r="D1284" s="192">
        <v>44363</v>
      </c>
      <c r="E1284" s="174" t="str">
        <f>IF(data[[#This Row],[Estatus de 
Cotización]]="PERDIDO","N/A","")</f>
        <v/>
      </c>
      <c r="F1284" s="192"/>
      <c r="G1284" s="109"/>
      <c r="H1284" s="192"/>
      <c r="I1284" s="86" t="s">
        <v>2233</v>
      </c>
      <c r="J1284" s="87">
        <v>802</v>
      </c>
      <c r="K1284" s="110" t="s">
        <v>31</v>
      </c>
      <c r="L1284" s="106"/>
      <c r="M1284" s="105" t="s">
        <v>2235</v>
      </c>
      <c r="N1284" s="106">
        <v>2</v>
      </c>
      <c r="O1284" s="107"/>
      <c r="P1284" s="27">
        <v>21.12</v>
      </c>
      <c r="Q1284" s="28">
        <f>data[[#This Row],[Costo Producto
Proveedor ($/Unid)]]*data[[#This Row],[Cantidad]]</f>
        <v>0</v>
      </c>
      <c r="R1284" s="28">
        <f>data[[#This Row],[Cantidad]]*data[[#This Row],[Precio de Venta Cliente ($/Unid)]]</f>
        <v>42.24</v>
      </c>
      <c r="S1284" s="29"/>
      <c r="T1284" s="109" t="s">
        <v>2004</v>
      </c>
      <c r="U1284" s="109"/>
      <c r="V1284" s="30" t="s">
        <v>46</v>
      </c>
      <c r="W1284" s="32" t="s">
        <v>46</v>
      </c>
      <c r="X1284" s="106" t="s">
        <v>503</v>
      </c>
      <c r="Y1284" s="106" t="s">
        <v>503</v>
      </c>
      <c r="Z1284" s="106" t="s">
        <v>12</v>
      </c>
      <c r="AA1284" s="109"/>
    </row>
    <row r="1285" spans="2:27" x14ac:dyDescent="0.25">
      <c r="B1285" s="192"/>
      <c r="C1285" s="192" t="str">
        <f>TEXT(data[[#This Row],[Fecha de Envío
Cotización]],"MMMM")</f>
        <v>junio</v>
      </c>
      <c r="D1285" s="192">
        <v>44363</v>
      </c>
      <c r="E1285" s="174" t="str">
        <f>IF(data[[#This Row],[Estatus de 
Cotización]]="PERDIDO","N/A","")</f>
        <v/>
      </c>
      <c r="F1285" s="192"/>
      <c r="G1285" s="109"/>
      <c r="H1285" s="192"/>
      <c r="I1285" s="86" t="s">
        <v>2234</v>
      </c>
      <c r="J1285" s="87">
        <v>802</v>
      </c>
      <c r="K1285" s="110" t="s">
        <v>31</v>
      </c>
      <c r="L1285" s="106"/>
      <c r="M1285" s="105" t="s">
        <v>2236</v>
      </c>
      <c r="N1285" s="106">
        <v>4</v>
      </c>
      <c r="O1285" s="107"/>
      <c r="P1285" s="27">
        <v>25.08</v>
      </c>
      <c r="Q1285" s="28">
        <f>data[[#This Row],[Costo Producto
Proveedor ($/Unid)]]*data[[#This Row],[Cantidad]]</f>
        <v>0</v>
      </c>
      <c r="R1285" s="28">
        <f>data[[#This Row],[Cantidad]]*data[[#This Row],[Precio de Venta Cliente ($/Unid)]]</f>
        <v>100.32</v>
      </c>
      <c r="S1285" s="29"/>
      <c r="T1285" s="109" t="s">
        <v>2004</v>
      </c>
      <c r="U1285" s="109"/>
      <c r="V1285" s="30" t="s">
        <v>473</v>
      </c>
      <c r="W1285" s="32" t="s">
        <v>473</v>
      </c>
      <c r="X1285" s="106" t="s">
        <v>23</v>
      </c>
      <c r="Y1285" s="106" t="s">
        <v>23</v>
      </c>
      <c r="Z1285" s="106" t="s">
        <v>12</v>
      </c>
      <c r="AA1285" s="109"/>
    </row>
    <row r="1286" spans="2:27" x14ac:dyDescent="0.25">
      <c r="B1286" s="192"/>
      <c r="C1286" s="192" t="str">
        <f>TEXT(data[[#This Row],[Fecha de Envío
Cotización]],"MMMM")</f>
        <v>junio</v>
      </c>
      <c r="D1286" s="192">
        <v>44364</v>
      </c>
      <c r="E1286" s="174" t="str">
        <f>IF(data[[#This Row],[Estatus de 
Cotización]]="PERDIDO","N/A","")</f>
        <v/>
      </c>
      <c r="F1286" s="192"/>
      <c r="G1286" s="109"/>
      <c r="H1286" s="192"/>
      <c r="I1286" s="86" t="s">
        <v>2234</v>
      </c>
      <c r="J1286" s="87">
        <v>807</v>
      </c>
      <c r="K1286" s="110" t="s">
        <v>31</v>
      </c>
      <c r="L1286" s="106"/>
      <c r="M1286" s="105" t="s">
        <v>2236</v>
      </c>
      <c r="N1286" s="106">
        <v>4</v>
      </c>
      <c r="O1286" s="107"/>
      <c r="P1286" s="27">
        <v>24.85</v>
      </c>
      <c r="Q1286" s="28">
        <f>data[[#This Row],[Costo Producto
Proveedor ($/Unid)]]*data[[#This Row],[Cantidad]]</f>
        <v>0</v>
      </c>
      <c r="R1286" s="28">
        <f>data[[#This Row],[Cantidad]]*data[[#This Row],[Precio de Venta Cliente ($/Unid)]]</f>
        <v>99.4</v>
      </c>
      <c r="S1286" s="29"/>
      <c r="T1286" s="109" t="s">
        <v>2004</v>
      </c>
      <c r="U1286" s="109"/>
      <c r="V1286" s="30" t="s">
        <v>46</v>
      </c>
      <c r="W1286" s="32" t="s">
        <v>46</v>
      </c>
      <c r="X1286" s="106" t="s">
        <v>503</v>
      </c>
      <c r="Y1286" s="106" t="s">
        <v>503</v>
      </c>
      <c r="Z1286" s="106" t="s">
        <v>12</v>
      </c>
      <c r="AA1286" s="109"/>
    </row>
    <row r="1287" spans="2:27" x14ac:dyDescent="0.25">
      <c r="B1287" s="192"/>
      <c r="C1287" s="192" t="str">
        <f>TEXT(data[[#This Row],[Fecha de Envío
Cotización]],"MMMM")</f>
        <v>junio</v>
      </c>
      <c r="D1287" s="192">
        <v>44364</v>
      </c>
      <c r="E1287" s="192"/>
      <c r="F1287" s="192"/>
      <c r="G1287" s="109"/>
      <c r="H1287" s="192"/>
      <c r="I1287" s="86">
        <v>190166</v>
      </c>
      <c r="J1287" s="87">
        <v>808</v>
      </c>
      <c r="K1287" s="110" t="s">
        <v>130</v>
      </c>
      <c r="L1287" s="106"/>
      <c r="M1287" s="105" t="s">
        <v>2250</v>
      </c>
      <c r="N1287" s="106">
        <v>6</v>
      </c>
      <c r="O1287" s="107"/>
      <c r="P1287" s="27">
        <v>53.02</v>
      </c>
      <c r="Q1287" s="28">
        <f>data[[#This Row],[Costo Producto
Proveedor ($/Unid)]]*data[[#This Row],[Cantidad]]</f>
        <v>0</v>
      </c>
      <c r="R1287" s="28">
        <f>data[[#This Row],[Cantidad]]*data[[#This Row],[Precio de Venta Cliente ($/Unid)]]</f>
        <v>318.12</v>
      </c>
      <c r="S1287" s="29"/>
      <c r="T1287" s="109" t="s">
        <v>2004</v>
      </c>
      <c r="U1287" s="109"/>
      <c r="V1287" s="30" t="s">
        <v>46</v>
      </c>
      <c r="W1287" s="32" t="s">
        <v>46</v>
      </c>
      <c r="X1287" s="106" t="s">
        <v>503</v>
      </c>
      <c r="Y1287" s="106" t="s">
        <v>503</v>
      </c>
      <c r="Z1287" s="106" t="s">
        <v>12</v>
      </c>
      <c r="AA1287" s="109"/>
    </row>
    <row r="1288" spans="2:27" ht="15.75" x14ac:dyDescent="0.25">
      <c r="B1288" s="192"/>
      <c r="C1288" s="192" t="str">
        <f>TEXT(data[[#This Row],[Fecha de Envío
Cotización]],"MMMM")</f>
        <v>junio</v>
      </c>
      <c r="D1288" s="192">
        <v>44364</v>
      </c>
      <c r="E1288" s="192"/>
      <c r="F1288" s="192"/>
      <c r="G1288" s="109"/>
      <c r="H1288" s="192"/>
      <c r="I1288" s="86" t="s">
        <v>2256</v>
      </c>
      <c r="J1288" s="87">
        <v>816</v>
      </c>
      <c r="K1288" s="110" t="s">
        <v>1546</v>
      </c>
      <c r="L1288" s="106"/>
      <c r="M1288" t="s">
        <v>2257</v>
      </c>
      <c r="N1288" s="106">
        <v>15000</v>
      </c>
      <c r="O1288" s="107"/>
      <c r="P1288" s="27">
        <v>4.41</v>
      </c>
      <c r="Q1288" s="28">
        <f>data[[#This Row],[Costo Producto
Proveedor ($/Unid)]]*data[[#This Row],[Cantidad]]</f>
        <v>0</v>
      </c>
      <c r="R1288" s="28">
        <f>data[[#This Row],[Cantidad]]*data[[#This Row],[Precio de Venta Cliente ($/Unid)]]</f>
        <v>66150</v>
      </c>
      <c r="S1288" s="29"/>
      <c r="T1288" s="109" t="s">
        <v>1552</v>
      </c>
      <c r="U1288" s="109"/>
      <c r="V1288" s="30" t="s">
        <v>473</v>
      </c>
      <c r="W1288" s="32" t="s">
        <v>473</v>
      </c>
      <c r="X1288" s="106" t="s">
        <v>23</v>
      </c>
      <c r="Y1288" s="106" t="s">
        <v>23</v>
      </c>
      <c r="Z1288" s="106" t="s">
        <v>12</v>
      </c>
      <c r="AA1288" s="112" t="s">
        <v>2389</v>
      </c>
    </row>
    <row r="1289" spans="2:27" x14ac:dyDescent="0.25">
      <c r="B1289" s="192"/>
      <c r="C1289" s="192" t="str">
        <f>TEXT(data[[#This Row],[Fecha de Envío
Cotización]],"MMMM")</f>
        <v>junio</v>
      </c>
      <c r="D1289" s="192">
        <v>44364</v>
      </c>
      <c r="E1289" s="192"/>
      <c r="F1289" s="192"/>
      <c r="G1289" s="109"/>
      <c r="H1289" s="192"/>
      <c r="I1289" s="86" t="s">
        <v>2263</v>
      </c>
      <c r="J1289" s="87">
        <v>817</v>
      </c>
      <c r="K1289" s="110" t="s">
        <v>1546</v>
      </c>
      <c r="L1289" s="106"/>
      <c r="M1289" s="105" t="s">
        <v>2264</v>
      </c>
      <c r="N1289" s="106">
        <v>16000</v>
      </c>
      <c r="O1289" s="107"/>
      <c r="P1289" s="27">
        <v>4.38</v>
      </c>
      <c r="Q1289" s="28">
        <f>data[[#This Row],[Costo Producto
Proveedor ($/Unid)]]*data[[#This Row],[Cantidad]]</f>
        <v>0</v>
      </c>
      <c r="R1289" s="28">
        <f>data[[#This Row],[Cantidad]]*data[[#This Row],[Precio de Venta Cliente ($/Unid)]]</f>
        <v>70080</v>
      </c>
      <c r="S1289" s="29"/>
      <c r="T1289" s="109" t="s">
        <v>1552</v>
      </c>
      <c r="U1289" s="109"/>
      <c r="V1289" s="30" t="s">
        <v>42</v>
      </c>
      <c r="W1289" s="32" t="s">
        <v>42</v>
      </c>
      <c r="X1289" s="106" t="s">
        <v>503</v>
      </c>
      <c r="Y1289" s="106" t="s">
        <v>503</v>
      </c>
      <c r="Z1289" s="106" t="s">
        <v>12</v>
      </c>
      <c r="AA1289" s="109"/>
    </row>
    <row r="1290" spans="2:27" s="37" customFormat="1" ht="31.5" x14ac:dyDescent="0.25">
      <c r="B1290" s="174"/>
      <c r="C1290" s="174" t="str">
        <f>TEXT(data[[#This Row],[Fecha de Envío
Cotización]],"MMMM")</f>
        <v>junio</v>
      </c>
      <c r="D1290" s="174">
        <v>44365</v>
      </c>
      <c r="E1290" s="130"/>
      <c r="F1290" s="174"/>
      <c r="G1290" s="109"/>
      <c r="H1290" s="174"/>
      <c r="I1290" s="86" t="s">
        <v>2007</v>
      </c>
      <c r="J1290" s="87">
        <v>746</v>
      </c>
      <c r="K1290" s="37" t="s">
        <v>1546</v>
      </c>
      <c r="L1290" s="106"/>
      <c r="M1290" s="17" t="s">
        <v>1549</v>
      </c>
      <c r="N1290" s="106">
        <v>5000</v>
      </c>
      <c r="O1290" s="107"/>
      <c r="P1290" s="27">
        <v>7.9</v>
      </c>
      <c r="Q1290" s="28">
        <f>data[[#This Row],[Costo Producto
Proveedor ($/Unid)]]*data[[#This Row],[Cantidad]]</f>
        <v>0</v>
      </c>
      <c r="R1290" s="28">
        <f>data[[#This Row],[Cantidad]]*data[[#This Row],[Precio de Venta Cliente ($/Unid)]]</f>
        <v>39500</v>
      </c>
      <c r="S1290" s="29"/>
      <c r="T1290" s="109" t="s">
        <v>1552</v>
      </c>
      <c r="U1290" s="109"/>
      <c r="V1290" s="30" t="s">
        <v>42</v>
      </c>
      <c r="W1290" s="32" t="s">
        <v>42</v>
      </c>
      <c r="X1290" s="106" t="s">
        <v>23</v>
      </c>
      <c r="Y1290" s="106" t="s">
        <v>23</v>
      </c>
      <c r="Z1290" s="106" t="s">
        <v>12</v>
      </c>
      <c r="AA1290" s="63" t="s">
        <v>2390</v>
      </c>
    </row>
    <row r="1291" spans="2:27" x14ac:dyDescent="0.25">
      <c r="B1291" s="192"/>
      <c r="C1291" s="192" t="str">
        <f>TEXT(data[[#This Row],[Fecha de Envío
Cotización]],"MMMM")</f>
        <v>junio</v>
      </c>
      <c r="D1291" s="192">
        <v>44365</v>
      </c>
      <c r="E1291" s="192"/>
      <c r="F1291" s="192"/>
      <c r="G1291" s="109"/>
      <c r="H1291" s="192"/>
      <c r="I1291" s="86" t="s">
        <v>2275</v>
      </c>
      <c r="J1291" s="87">
        <v>825</v>
      </c>
      <c r="K1291" s="110" t="s">
        <v>1417</v>
      </c>
      <c r="L1291" s="106"/>
      <c r="M1291" s="105" t="s">
        <v>2276</v>
      </c>
      <c r="N1291" s="106">
        <v>2</v>
      </c>
      <c r="O1291" s="107"/>
      <c r="P1291" s="27">
        <v>718.03</v>
      </c>
      <c r="Q1291" s="28">
        <f>data[[#This Row],[Costo Producto
Proveedor ($/Unid)]]*data[[#This Row],[Cantidad]]</f>
        <v>0</v>
      </c>
      <c r="R1291" s="28">
        <f>data[[#This Row],[Cantidad]]*data[[#This Row],[Precio de Venta Cliente ($/Unid)]]</f>
        <v>1436.06</v>
      </c>
      <c r="S1291" s="29"/>
      <c r="T1291" s="109" t="s">
        <v>16</v>
      </c>
      <c r="U1291" s="109"/>
      <c r="V1291" s="30" t="s">
        <v>46</v>
      </c>
      <c r="W1291" s="32" t="s">
        <v>46</v>
      </c>
      <c r="X1291" s="106" t="s">
        <v>503</v>
      </c>
      <c r="Y1291" s="106" t="s">
        <v>503</v>
      </c>
      <c r="Z1291" s="106" t="s">
        <v>12</v>
      </c>
      <c r="AA1291" s="109"/>
    </row>
    <row r="1292" spans="2:27" x14ac:dyDescent="0.25">
      <c r="B1292" s="192"/>
      <c r="C1292" s="192" t="str">
        <f>TEXT(data[[#This Row],[Fecha de Envío
Cotización]],"MMMM")</f>
        <v>junio</v>
      </c>
      <c r="D1292" s="192">
        <v>44369</v>
      </c>
      <c r="E1292" s="192"/>
      <c r="F1292" s="192"/>
      <c r="G1292" s="109"/>
      <c r="H1292" s="192"/>
      <c r="I1292" s="86" t="s">
        <v>2317</v>
      </c>
      <c r="J1292" s="87">
        <v>842</v>
      </c>
      <c r="K1292" s="110" t="s">
        <v>424</v>
      </c>
      <c r="L1292" s="106"/>
      <c r="M1292" t="s">
        <v>2318</v>
      </c>
      <c r="N1292" s="106">
        <v>3</v>
      </c>
      <c r="O1292" s="107"/>
      <c r="P1292" s="27">
        <v>46.44</v>
      </c>
      <c r="Q1292" s="28">
        <f>data[[#This Row],[Costo Producto
Proveedor ($/Unid)]]*data[[#This Row],[Cantidad]]</f>
        <v>0</v>
      </c>
      <c r="R1292" s="28">
        <f>data[[#This Row],[Cantidad]]*data[[#This Row],[Precio de Venta Cliente ($/Unid)]]</f>
        <v>139.32</v>
      </c>
      <c r="S1292" s="29"/>
      <c r="T1292" s="109" t="s">
        <v>16</v>
      </c>
      <c r="U1292" s="109"/>
      <c r="V1292" s="30" t="s">
        <v>46</v>
      </c>
      <c r="W1292" s="32" t="s">
        <v>46</v>
      </c>
      <c r="X1292" s="106" t="s">
        <v>503</v>
      </c>
      <c r="Y1292" s="106" t="s">
        <v>503</v>
      </c>
      <c r="Z1292" s="106" t="s">
        <v>12</v>
      </c>
      <c r="AA1292" s="109"/>
    </row>
    <row r="1293" spans="2:27" x14ac:dyDescent="0.25">
      <c r="B1293" s="192"/>
      <c r="C1293" s="192" t="str">
        <f>TEXT(data[[#This Row],[Fecha de Envío
Cotización]],"MMMM")</f>
        <v>junio</v>
      </c>
      <c r="D1293" s="192">
        <v>44369</v>
      </c>
      <c r="E1293" s="192">
        <v>44376</v>
      </c>
      <c r="F1293" s="192"/>
      <c r="G1293" s="109">
        <v>18134</v>
      </c>
      <c r="H1293" s="192"/>
      <c r="I1293" s="86" t="s">
        <v>2361</v>
      </c>
      <c r="J1293" s="87">
        <v>846</v>
      </c>
      <c r="K1293" s="110" t="s">
        <v>320</v>
      </c>
      <c r="L1293" s="106"/>
      <c r="M1293" t="s">
        <v>2362</v>
      </c>
      <c r="N1293" s="106">
        <v>1</v>
      </c>
      <c r="O1293" s="107"/>
      <c r="P1293" s="27">
        <v>171</v>
      </c>
      <c r="Q1293" s="28">
        <f>data[[#This Row],[Costo Producto
Proveedor ($/Unid)]]*data[[#This Row],[Cantidad]]</f>
        <v>0</v>
      </c>
      <c r="R1293" s="28">
        <f>data[[#This Row],[Cantidad]]*data[[#This Row],[Precio de Venta Cliente ($/Unid)]]</f>
        <v>171</v>
      </c>
      <c r="S1293" s="29"/>
      <c r="T1293" s="109" t="s">
        <v>36</v>
      </c>
      <c r="U1293" s="109"/>
      <c r="V1293" s="30" t="s">
        <v>44</v>
      </c>
      <c r="W1293" s="32" t="s">
        <v>44</v>
      </c>
      <c r="X1293" s="106" t="s">
        <v>503</v>
      </c>
      <c r="Y1293" s="106" t="s">
        <v>503</v>
      </c>
      <c r="Z1293" s="106" t="s">
        <v>12</v>
      </c>
      <c r="AA1293" s="109"/>
    </row>
    <row r="1294" spans="2:27" x14ac:dyDescent="0.25">
      <c r="B1294" s="192"/>
      <c r="C1294" s="192" t="str">
        <f>TEXT(data[[#This Row],[Fecha de Envío
Cotización]],"MMMM")</f>
        <v>junio</v>
      </c>
      <c r="D1294" s="192">
        <v>44369</v>
      </c>
      <c r="E1294" s="192">
        <v>44376</v>
      </c>
      <c r="F1294" s="192"/>
      <c r="G1294" s="109">
        <v>18134</v>
      </c>
      <c r="H1294" s="192"/>
      <c r="I1294" s="86" t="s">
        <v>2363</v>
      </c>
      <c r="J1294" s="87">
        <v>846</v>
      </c>
      <c r="K1294" s="110" t="s">
        <v>320</v>
      </c>
      <c r="L1294" s="106"/>
      <c r="M1294" t="s">
        <v>2364</v>
      </c>
      <c r="N1294" s="106">
        <v>1</v>
      </c>
      <c r="O1294" s="107"/>
      <c r="P1294" s="27">
        <v>161.43</v>
      </c>
      <c r="Q1294" s="28">
        <f>data[[#This Row],[Costo Producto
Proveedor ($/Unid)]]*data[[#This Row],[Cantidad]]</f>
        <v>0</v>
      </c>
      <c r="R1294" s="28">
        <f>data[[#This Row],[Cantidad]]*data[[#This Row],[Precio de Venta Cliente ($/Unid)]]</f>
        <v>161.43</v>
      </c>
      <c r="S1294" s="29"/>
      <c r="T1294" s="109" t="s">
        <v>36</v>
      </c>
      <c r="U1294" s="109"/>
      <c r="V1294" s="30" t="s">
        <v>44</v>
      </c>
      <c r="W1294" s="32" t="s">
        <v>44</v>
      </c>
      <c r="X1294" s="106" t="s">
        <v>503</v>
      </c>
      <c r="Y1294" s="106" t="s">
        <v>503</v>
      </c>
      <c r="Z1294" s="106" t="s">
        <v>12</v>
      </c>
      <c r="AA1294" s="109" t="s">
        <v>2517</v>
      </c>
    </row>
    <row r="1295" spans="2:27" x14ac:dyDescent="0.25">
      <c r="B1295" s="192"/>
      <c r="C1295" s="192" t="str">
        <f>TEXT(data[[#This Row],[Fecha de Envío
Cotización]],"MMMM")</f>
        <v>junio</v>
      </c>
      <c r="D1295" s="192">
        <v>44369</v>
      </c>
      <c r="E1295" s="192"/>
      <c r="F1295" s="192"/>
      <c r="G1295" s="109"/>
      <c r="H1295" s="192"/>
      <c r="I1295" s="86" t="s">
        <v>2214</v>
      </c>
      <c r="J1295" s="87">
        <v>847</v>
      </c>
      <c r="K1295" s="110" t="s">
        <v>320</v>
      </c>
      <c r="L1295" s="106"/>
      <c r="M1295" t="s">
        <v>2365</v>
      </c>
      <c r="N1295" s="106">
        <v>1</v>
      </c>
      <c r="O1295" s="107"/>
      <c r="P1295" s="27">
        <v>82.17</v>
      </c>
      <c r="Q1295" s="28">
        <f>data[[#This Row],[Costo Producto
Proveedor ($/Unid)]]*data[[#This Row],[Cantidad]]</f>
        <v>0</v>
      </c>
      <c r="R1295" s="28">
        <f>data[[#This Row],[Cantidad]]*data[[#This Row],[Precio de Venta Cliente ($/Unid)]]</f>
        <v>82.17</v>
      </c>
      <c r="S1295" s="29"/>
      <c r="T1295" s="109" t="s">
        <v>36</v>
      </c>
      <c r="U1295" s="109"/>
      <c r="V1295" s="30" t="s">
        <v>46</v>
      </c>
      <c r="W1295" s="32" t="s">
        <v>46</v>
      </c>
      <c r="X1295" s="106" t="s">
        <v>503</v>
      </c>
      <c r="Y1295" s="106" t="s">
        <v>503</v>
      </c>
      <c r="Z1295" s="106" t="s">
        <v>12</v>
      </c>
      <c r="AA1295" s="109"/>
    </row>
    <row r="1296" spans="2:27" x14ac:dyDescent="0.25">
      <c r="B1296" s="192"/>
      <c r="C1296" s="192" t="str">
        <f>TEXT(data[[#This Row],[Fecha de Envío
Cotización]],"MMMM")</f>
        <v>junio</v>
      </c>
      <c r="D1296" s="192">
        <v>44369</v>
      </c>
      <c r="E1296" s="192">
        <v>44372</v>
      </c>
      <c r="F1296" s="192"/>
      <c r="G1296" s="109">
        <v>18127</v>
      </c>
      <c r="H1296" s="192">
        <v>44373</v>
      </c>
      <c r="I1296" s="86" t="s">
        <v>2366</v>
      </c>
      <c r="J1296" s="87">
        <v>848</v>
      </c>
      <c r="K1296" s="110" t="s">
        <v>320</v>
      </c>
      <c r="L1296" s="106"/>
      <c r="M1296" t="s">
        <v>2367</v>
      </c>
      <c r="N1296" s="106">
        <v>1</v>
      </c>
      <c r="O1296" s="107"/>
      <c r="P1296" s="27">
        <v>868.04</v>
      </c>
      <c r="Q1296" s="28">
        <f>data[[#This Row],[Costo Producto
Proveedor ($/Unid)]]*data[[#This Row],[Cantidad]]</f>
        <v>0</v>
      </c>
      <c r="R1296" s="28">
        <f>data[[#This Row],[Cantidad]]*data[[#This Row],[Precio de Venta Cliente ($/Unid)]]</f>
        <v>868.04</v>
      </c>
      <c r="S1296" s="29"/>
      <c r="T1296" s="109" t="s">
        <v>16</v>
      </c>
      <c r="U1296" s="109"/>
      <c r="V1296" s="30" t="s">
        <v>44</v>
      </c>
      <c r="W1296" s="32" t="s">
        <v>44</v>
      </c>
      <c r="X1296" s="106" t="s">
        <v>503</v>
      </c>
      <c r="Y1296" s="106" t="s">
        <v>503</v>
      </c>
      <c r="Z1296" s="106" t="s">
        <v>12</v>
      </c>
      <c r="AA1296" s="109" t="s">
        <v>2478</v>
      </c>
    </row>
    <row r="1297" spans="2:27" x14ac:dyDescent="0.25">
      <c r="B1297" s="192"/>
      <c r="C1297" s="192" t="str">
        <f>TEXT(data[[#This Row],[Fecha de Envío
Cotización]],"MMMM")</f>
        <v>junio</v>
      </c>
      <c r="D1297" s="192">
        <v>44369</v>
      </c>
      <c r="E1297" s="192">
        <v>44369</v>
      </c>
      <c r="F1297" s="192">
        <v>44369</v>
      </c>
      <c r="G1297" s="231" t="s">
        <v>2372</v>
      </c>
      <c r="H1297" s="192">
        <v>44369</v>
      </c>
      <c r="I1297" s="86" t="s">
        <v>2369</v>
      </c>
      <c r="J1297" s="231" t="s">
        <v>2371</v>
      </c>
      <c r="K1297" s="110" t="s">
        <v>2368</v>
      </c>
      <c r="L1297" s="106"/>
      <c r="M1297" t="s">
        <v>2370</v>
      </c>
      <c r="N1297" s="106">
        <v>6</v>
      </c>
      <c r="O1297" s="107"/>
      <c r="P1297" s="27">
        <v>190</v>
      </c>
      <c r="Q1297" s="28">
        <f>data[[#This Row],[Costo Producto
Proveedor ($/Unid)]]*data[[#This Row],[Cantidad]]</f>
        <v>0</v>
      </c>
      <c r="R1297" s="28">
        <f>data[[#This Row],[Cantidad]]*data[[#This Row],[Precio de Venta Cliente ($/Unid)]]</f>
        <v>1140</v>
      </c>
      <c r="S1297" s="29"/>
      <c r="T1297" s="109" t="s">
        <v>119</v>
      </c>
      <c r="U1297" s="109"/>
      <c r="V1297" s="30" t="s">
        <v>44</v>
      </c>
      <c r="W1297" s="32" t="s">
        <v>44</v>
      </c>
      <c r="X1297" s="106" t="s">
        <v>45</v>
      </c>
      <c r="Y1297" s="106" t="s">
        <v>503</v>
      </c>
      <c r="Z1297" s="106" t="s">
        <v>12</v>
      </c>
      <c r="AA1297" s="109"/>
    </row>
    <row r="1298" spans="2:27" ht="15.75" x14ac:dyDescent="0.25">
      <c r="B1298" s="192"/>
      <c r="C1298" s="192" t="str">
        <f>TEXT(data[[#This Row],[Fecha de Envío
Cotización]],"MMMM")</f>
        <v>junio</v>
      </c>
      <c r="D1298" s="192">
        <v>44375</v>
      </c>
      <c r="E1298" s="192">
        <v>44375</v>
      </c>
      <c r="F1298" s="192"/>
      <c r="G1298" s="109">
        <v>2442</v>
      </c>
      <c r="H1298" s="192">
        <v>44375</v>
      </c>
      <c r="I1298" s="86" t="s">
        <v>2387</v>
      </c>
      <c r="J1298" s="87">
        <v>871</v>
      </c>
      <c r="K1298" s="110" t="s">
        <v>1546</v>
      </c>
      <c r="L1298" s="106"/>
      <c r="M1298" t="s">
        <v>2388</v>
      </c>
      <c r="N1298" s="106">
        <v>10000</v>
      </c>
      <c r="O1298" s="107"/>
      <c r="P1298" s="27">
        <v>3.88</v>
      </c>
      <c r="Q1298" s="28">
        <f>data[[#This Row],[Costo Producto
Proveedor ($/Unid)]]*data[[#This Row],[Cantidad]]</f>
        <v>0</v>
      </c>
      <c r="R1298" s="28">
        <f>data[[#This Row],[Cantidad]]*data[[#This Row],[Precio de Venta Cliente ($/Unid)]]</f>
        <v>38800</v>
      </c>
      <c r="S1298" s="29"/>
      <c r="T1298" s="109" t="s">
        <v>77</v>
      </c>
      <c r="U1298" s="109"/>
      <c r="V1298" s="30" t="s">
        <v>46</v>
      </c>
      <c r="W1298" s="32" t="s">
        <v>46</v>
      </c>
      <c r="X1298" s="106" t="s">
        <v>503</v>
      </c>
      <c r="Y1298" s="106" t="s">
        <v>503</v>
      </c>
      <c r="Z1298" s="106" t="s">
        <v>12</v>
      </c>
      <c r="AA1298" s="112" t="s">
        <v>2504</v>
      </c>
    </row>
    <row r="1299" spans="2:27" x14ac:dyDescent="0.25">
      <c r="B1299" s="192"/>
      <c r="C1299" s="174" t="str">
        <f>TEXT(data[[#This Row],[Fecha de Envío
Cotización]],"MMMM")</f>
        <v>junio</v>
      </c>
      <c r="D1299" s="192">
        <v>44371</v>
      </c>
      <c r="E1299" s="192"/>
      <c r="F1299" s="192"/>
      <c r="G1299" s="109"/>
      <c r="H1299" s="192"/>
      <c r="I1299" s="86" t="s">
        <v>2414</v>
      </c>
      <c r="J1299" s="87">
        <v>861</v>
      </c>
      <c r="K1299" s="110" t="s">
        <v>130</v>
      </c>
      <c r="L1299" s="106"/>
      <c r="M1299" t="s">
        <v>2416</v>
      </c>
      <c r="N1299" s="106">
        <v>2</v>
      </c>
      <c r="O1299" s="107"/>
      <c r="P1299" s="27">
        <v>288.58</v>
      </c>
      <c r="Q1299" s="28">
        <f>data[[#This Row],[Costo Producto
Proveedor ($/Unid)]]*data[[#This Row],[Cantidad]]</f>
        <v>0</v>
      </c>
      <c r="R1299" s="28">
        <f>data[[#This Row],[Cantidad]]*data[[#This Row],[Precio de Venta Cliente ($/Unid)]]</f>
        <v>577.16</v>
      </c>
      <c r="S1299" s="29"/>
      <c r="T1299" s="109" t="s">
        <v>124</v>
      </c>
      <c r="U1299" s="109"/>
      <c r="V1299" s="30" t="s">
        <v>46</v>
      </c>
      <c r="W1299" s="32" t="s">
        <v>46</v>
      </c>
      <c r="X1299" s="106" t="s">
        <v>503</v>
      </c>
      <c r="Y1299" s="106" t="s">
        <v>503</v>
      </c>
      <c r="Z1299" s="106" t="s">
        <v>12</v>
      </c>
      <c r="AA1299" s="109"/>
    </row>
    <row r="1300" spans="2:27" x14ac:dyDescent="0.25">
      <c r="B1300" s="192"/>
      <c r="C1300" s="174" t="str">
        <f>TEXT(data[[#This Row],[Fecha de Envío
Cotización]],"MMMM")</f>
        <v>junio</v>
      </c>
      <c r="D1300" s="192">
        <v>44371</v>
      </c>
      <c r="E1300" s="192"/>
      <c r="F1300" s="192"/>
      <c r="G1300" s="109"/>
      <c r="H1300" s="192"/>
      <c r="I1300" s="86" t="s">
        <v>2415</v>
      </c>
      <c r="J1300" s="87">
        <v>862</v>
      </c>
      <c r="K1300" s="110" t="s">
        <v>31</v>
      </c>
      <c r="L1300" s="106"/>
      <c r="M1300" t="s">
        <v>2417</v>
      </c>
      <c r="N1300" s="106">
        <v>11</v>
      </c>
      <c r="O1300" s="107"/>
      <c r="P1300" s="27">
        <v>139.19999999999999</v>
      </c>
      <c r="Q1300" s="28">
        <f>data[[#This Row],[Costo Producto
Proveedor ($/Unid)]]*data[[#This Row],[Cantidad]]</f>
        <v>0</v>
      </c>
      <c r="R1300" s="28">
        <f>data[[#This Row],[Cantidad]]*data[[#This Row],[Precio de Venta Cliente ($/Unid)]]</f>
        <v>1531.1999999999998</v>
      </c>
      <c r="S1300" s="29"/>
      <c r="T1300" s="109" t="s">
        <v>2004</v>
      </c>
      <c r="U1300" s="109"/>
      <c r="V1300" s="30" t="s">
        <v>46</v>
      </c>
      <c r="W1300" s="32" t="s">
        <v>46</v>
      </c>
      <c r="X1300" s="106" t="s">
        <v>503</v>
      </c>
      <c r="Y1300" s="106" t="s">
        <v>503</v>
      </c>
      <c r="Z1300" s="106" t="s">
        <v>12</v>
      </c>
      <c r="AA1300" s="109"/>
    </row>
    <row r="1301" spans="2:27" x14ac:dyDescent="0.25">
      <c r="B1301" s="192"/>
      <c r="C1301" s="174" t="str">
        <f>TEXT(data[[#This Row],[Fecha de Envío
Cotización]],"MMMM")</f>
        <v>junio</v>
      </c>
      <c r="D1301" s="192">
        <v>44372</v>
      </c>
      <c r="E1301" s="192"/>
      <c r="F1301" s="192"/>
      <c r="G1301" s="109"/>
      <c r="H1301" s="192"/>
      <c r="I1301" s="86" t="s">
        <v>2444</v>
      </c>
      <c r="J1301" s="87">
        <v>865</v>
      </c>
      <c r="K1301" s="110" t="s">
        <v>31</v>
      </c>
      <c r="L1301" s="106"/>
      <c r="M1301" t="s">
        <v>2451</v>
      </c>
      <c r="N1301" s="106">
        <v>300</v>
      </c>
      <c r="O1301" s="107"/>
      <c r="P1301" s="27">
        <v>1.08</v>
      </c>
      <c r="Q1301" s="28">
        <f>data[[#This Row],[Costo Producto
Proveedor ($/Unid)]]*data[[#This Row],[Cantidad]]</f>
        <v>0</v>
      </c>
      <c r="R1301" s="28">
        <f>data[[#This Row],[Cantidad]]*data[[#This Row],[Precio de Venta Cliente ($/Unid)]]</f>
        <v>324</v>
      </c>
      <c r="S1301" s="29"/>
      <c r="T1301" s="109" t="s">
        <v>2004</v>
      </c>
      <c r="U1301" s="109"/>
      <c r="V1301" s="30" t="s">
        <v>46</v>
      </c>
      <c r="W1301" s="32" t="s">
        <v>46</v>
      </c>
      <c r="X1301" s="106" t="s">
        <v>503</v>
      </c>
      <c r="Y1301" s="106" t="s">
        <v>503</v>
      </c>
      <c r="Z1301" s="106" t="s">
        <v>12</v>
      </c>
      <c r="AA1301" s="109"/>
    </row>
    <row r="1302" spans="2:27" x14ac:dyDescent="0.25">
      <c r="B1302" s="192"/>
      <c r="C1302" s="174" t="str">
        <f>TEXT(data[[#This Row],[Fecha de Envío
Cotización]],"MMMM")</f>
        <v>junio</v>
      </c>
      <c r="D1302" s="192">
        <v>44372</v>
      </c>
      <c r="E1302" s="192"/>
      <c r="F1302" s="192"/>
      <c r="G1302" s="109"/>
      <c r="H1302" s="192"/>
      <c r="I1302" s="86" t="s">
        <v>2445</v>
      </c>
      <c r="J1302" s="87">
        <v>865</v>
      </c>
      <c r="K1302" s="110" t="s">
        <v>31</v>
      </c>
      <c r="L1302" s="106"/>
      <c r="M1302" t="s">
        <v>2452</v>
      </c>
      <c r="N1302" s="106">
        <v>1</v>
      </c>
      <c r="O1302" s="107"/>
      <c r="P1302" s="27">
        <v>131.80000000000001</v>
      </c>
      <c r="Q1302" s="28">
        <f>data[[#This Row],[Costo Producto
Proveedor ($/Unid)]]*data[[#This Row],[Cantidad]]</f>
        <v>0</v>
      </c>
      <c r="R1302" s="28">
        <f>data[[#This Row],[Cantidad]]*data[[#This Row],[Precio de Venta Cliente ($/Unid)]]</f>
        <v>131.80000000000001</v>
      </c>
      <c r="S1302" s="29"/>
      <c r="T1302" s="109" t="s">
        <v>2004</v>
      </c>
      <c r="U1302" s="109"/>
      <c r="V1302" s="30" t="s">
        <v>46</v>
      </c>
      <c r="W1302" s="32" t="s">
        <v>46</v>
      </c>
      <c r="X1302" s="106" t="s">
        <v>503</v>
      </c>
      <c r="Y1302" s="106" t="s">
        <v>503</v>
      </c>
      <c r="Z1302" s="106" t="s">
        <v>12</v>
      </c>
      <c r="AA1302" s="109"/>
    </row>
    <row r="1303" spans="2:27" x14ac:dyDescent="0.25">
      <c r="B1303" s="192"/>
      <c r="C1303" s="174" t="str">
        <f>TEXT(data[[#This Row],[Fecha de Envío
Cotización]],"MMMM")</f>
        <v>junio</v>
      </c>
      <c r="D1303" s="192">
        <v>44372</v>
      </c>
      <c r="E1303" s="192"/>
      <c r="F1303" s="192"/>
      <c r="G1303" s="109"/>
      <c r="H1303" s="192"/>
      <c r="I1303" s="86" t="s">
        <v>2446</v>
      </c>
      <c r="J1303" s="87">
        <v>865</v>
      </c>
      <c r="K1303" s="110" t="s">
        <v>31</v>
      </c>
      <c r="L1303" s="106"/>
      <c r="M1303" t="s">
        <v>2453</v>
      </c>
      <c r="N1303" s="106">
        <v>1</v>
      </c>
      <c r="O1303" s="107"/>
      <c r="P1303" s="27">
        <v>30.89</v>
      </c>
      <c r="Q1303" s="28">
        <f>data[[#This Row],[Costo Producto
Proveedor ($/Unid)]]*data[[#This Row],[Cantidad]]</f>
        <v>0</v>
      </c>
      <c r="R1303" s="28">
        <f>data[[#This Row],[Cantidad]]*data[[#This Row],[Precio de Venta Cliente ($/Unid)]]</f>
        <v>30.89</v>
      </c>
      <c r="S1303" s="29"/>
      <c r="T1303" s="109" t="s">
        <v>2004</v>
      </c>
      <c r="U1303" s="109"/>
      <c r="V1303" s="30" t="s">
        <v>46</v>
      </c>
      <c r="W1303" s="32" t="s">
        <v>46</v>
      </c>
      <c r="X1303" s="106" t="s">
        <v>503</v>
      </c>
      <c r="Y1303" s="106" t="s">
        <v>503</v>
      </c>
      <c r="Z1303" s="106" t="s">
        <v>12</v>
      </c>
      <c r="AA1303" s="109"/>
    </row>
    <row r="1304" spans="2:27" x14ac:dyDescent="0.25">
      <c r="B1304" s="192"/>
      <c r="C1304" s="174" t="str">
        <f>TEXT(data[[#This Row],[Fecha de Envío
Cotización]],"MMMM")</f>
        <v>junio</v>
      </c>
      <c r="D1304" s="192">
        <v>44372</v>
      </c>
      <c r="E1304" s="192"/>
      <c r="F1304" s="192"/>
      <c r="G1304" s="109"/>
      <c r="H1304" s="192"/>
      <c r="I1304" s="86" t="s">
        <v>2447</v>
      </c>
      <c r="J1304" s="87">
        <v>865</v>
      </c>
      <c r="K1304" s="110" t="s">
        <v>31</v>
      </c>
      <c r="L1304" s="106"/>
      <c r="M1304" t="s">
        <v>2454</v>
      </c>
      <c r="N1304" s="106">
        <v>1</v>
      </c>
      <c r="O1304" s="107"/>
      <c r="P1304" s="27">
        <v>38.619999999999997</v>
      </c>
      <c r="Q1304" s="28">
        <f>data[[#This Row],[Costo Producto
Proveedor ($/Unid)]]*data[[#This Row],[Cantidad]]</f>
        <v>0</v>
      </c>
      <c r="R1304" s="28">
        <f>data[[#This Row],[Cantidad]]*data[[#This Row],[Precio de Venta Cliente ($/Unid)]]</f>
        <v>38.619999999999997</v>
      </c>
      <c r="S1304" s="29"/>
      <c r="T1304" s="109" t="s">
        <v>2004</v>
      </c>
      <c r="U1304" s="109"/>
      <c r="V1304" s="30" t="s">
        <v>46</v>
      </c>
      <c r="W1304" s="32" t="s">
        <v>46</v>
      </c>
      <c r="X1304" s="106" t="s">
        <v>503</v>
      </c>
      <c r="Y1304" s="106" t="s">
        <v>503</v>
      </c>
      <c r="Z1304" s="106" t="s">
        <v>12</v>
      </c>
      <c r="AA1304" s="109"/>
    </row>
    <row r="1305" spans="2:27" x14ac:dyDescent="0.25">
      <c r="B1305" s="192"/>
      <c r="C1305" s="174" t="str">
        <f>TEXT(data[[#This Row],[Fecha de Envío
Cotización]],"MMMM")</f>
        <v>junio</v>
      </c>
      <c r="D1305" s="192">
        <v>44372</v>
      </c>
      <c r="E1305" s="192"/>
      <c r="F1305" s="192"/>
      <c r="G1305" s="109"/>
      <c r="H1305" s="192"/>
      <c r="I1305" s="86" t="s">
        <v>2448</v>
      </c>
      <c r="J1305" s="87">
        <v>865</v>
      </c>
      <c r="K1305" s="110" t="s">
        <v>31</v>
      </c>
      <c r="L1305" s="106"/>
      <c r="M1305" t="s">
        <v>2455</v>
      </c>
      <c r="N1305" s="106">
        <v>1</v>
      </c>
      <c r="O1305" s="107"/>
      <c r="P1305" s="27">
        <v>84.96</v>
      </c>
      <c r="Q1305" s="28">
        <f>data[[#This Row],[Costo Producto
Proveedor ($/Unid)]]*data[[#This Row],[Cantidad]]</f>
        <v>0</v>
      </c>
      <c r="R1305" s="28">
        <f>data[[#This Row],[Cantidad]]*data[[#This Row],[Precio de Venta Cliente ($/Unid)]]</f>
        <v>84.96</v>
      </c>
      <c r="S1305" s="29"/>
      <c r="T1305" s="109" t="s">
        <v>2004</v>
      </c>
      <c r="U1305" s="109"/>
      <c r="V1305" s="30" t="s">
        <v>46</v>
      </c>
      <c r="W1305" s="32" t="s">
        <v>46</v>
      </c>
      <c r="X1305" s="106" t="s">
        <v>503</v>
      </c>
      <c r="Y1305" s="106" t="s">
        <v>503</v>
      </c>
      <c r="Z1305" s="106" t="s">
        <v>12</v>
      </c>
      <c r="AA1305" s="109"/>
    </row>
    <row r="1306" spans="2:27" x14ac:dyDescent="0.25">
      <c r="B1306" s="192"/>
      <c r="C1306" s="174" t="str">
        <f>TEXT(data[[#This Row],[Fecha de Envío
Cotización]],"MMMM")</f>
        <v>junio</v>
      </c>
      <c r="D1306" s="192">
        <v>44372</v>
      </c>
      <c r="E1306" s="192"/>
      <c r="F1306" s="192"/>
      <c r="G1306" s="109"/>
      <c r="H1306" s="192"/>
      <c r="I1306" s="86" t="s">
        <v>2449</v>
      </c>
      <c r="J1306" s="87">
        <v>865</v>
      </c>
      <c r="K1306" s="110" t="s">
        <v>31</v>
      </c>
      <c r="L1306" s="106"/>
      <c r="M1306" t="s">
        <v>2456</v>
      </c>
      <c r="N1306" s="106">
        <v>40</v>
      </c>
      <c r="O1306" s="107"/>
      <c r="P1306" s="27">
        <v>2.3199999999999998</v>
      </c>
      <c r="Q1306" s="28">
        <f>data[[#This Row],[Costo Producto
Proveedor ($/Unid)]]*data[[#This Row],[Cantidad]]</f>
        <v>0</v>
      </c>
      <c r="R1306" s="28">
        <f>data[[#This Row],[Cantidad]]*data[[#This Row],[Precio de Venta Cliente ($/Unid)]]</f>
        <v>92.8</v>
      </c>
      <c r="S1306" s="29"/>
      <c r="T1306" s="109" t="s">
        <v>2004</v>
      </c>
      <c r="U1306" s="109"/>
      <c r="V1306" s="30" t="s">
        <v>46</v>
      </c>
      <c r="W1306" s="32" t="s">
        <v>46</v>
      </c>
      <c r="X1306" s="106" t="s">
        <v>503</v>
      </c>
      <c r="Y1306" s="106" t="s">
        <v>503</v>
      </c>
      <c r="Z1306" s="106" t="s">
        <v>12</v>
      </c>
      <c r="AA1306" s="109"/>
    </row>
    <row r="1307" spans="2:27" x14ac:dyDescent="0.25">
      <c r="B1307" s="192"/>
      <c r="C1307" s="174" t="str">
        <f>TEXT(data[[#This Row],[Fecha de Envío
Cotización]],"MMMM")</f>
        <v>junio</v>
      </c>
      <c r="D1307" s="192">
        <v>44372</v>
      </c>
      <c r="E1307" s="192"/>
      <c r="F1307" s="192"/>
      <c r="G1307" s="109"/>
      <c r="H1307" s="192"/>
      <c r="I1307" s="86" t="s">
        <v>2450</v>
      </c>
      <c r="J1307" s="87">
        <v>865</v>
      </c>
      <c r="K1307" s="110" t="s">
        <v>31</v>
      </c>
      <c r="L1307" s="106"/>
      <c r="M1307" t="s">
        <v>2457</v>
      </c>
      <c r="N1307" s="106">
        <v>1</v>
      </c>
      <c r="O1307" s="107"/>
      <c r="P1307" s="27">
        <v>501.25</v>
      </c>
      <c r="Q1307" s="28">
        <f>data[[#This Row],[Costo Producto
Proveedor ($/Unid)]]*data[[#This Row],[Cantidad]]</f>
        <v>0</v>
      </c>
      <c r="R1307" s="28">
        <f>data[[#This Row],[Cantidad]]*data[[#This Row],[Precio de Venta Cliente ($/Unid)]]</f>
        <v>501.25</v>
      </c>
      <c r="S1307" s="29"/>
      <c r="T1307" s="109" t="s">
        <v>2004</v>
      </c>
      <c r="U1307" s="109"/>
      <c r="V1307" s="30" t="s">
        <v>46</v>
      </c>
      <c r="W1307" s="32" t="s">
        <v>46</v>
      </c>
      <c r="X1307" s="106" t="s">
        <v>503</v>
      </c>
      <c r="Y1307" s="106" t="s">
        <v>503</v>
      </c>
      <c r="Z1307" s="106" t="s">
        <v>12</v>
      </c>
      <c r="AA1307" s="109"/>
    </row>
    <row r="1308" spans="2:27" x14ac:dyDescent="0.25">
      <c r="B1308" s="192"/>
      <c r="C1308" s="174" t="str">
        <f>TEXT(data[[#This Row],[Fecha de Envío
Cotización]],"MMMM")</f>
        <v>junio</v>
      </c>
      <c r="D1308" s="192">
        <v>44372</v>
      </c>
      <c r="E1308" s="192"/>
      <c r="F1308" s="192"/>
      <c r="G1308" s="109"/>
      <c r="H1308" s="192"/>
      <c r="I1308" s="86" t="s">
        <v>2458</v>
      </c>
      <c r="J1308" s="87">
        <v>866</v>
      </c>
      <c r="K1308" s="110" t="s">
        <v>31</v>
      </c>
      <c r="L1308" s="106"/>
      <c r="M1308" t="s">
        <v>2465</v>
      </c>
      <c r="N1308" s="106">
        <v>10</v>
      </c>
      <c r="O1308" s="107"/>
      <c r="P1308" s="27">
        <v>3.55</v>
      </c>
      <c r="Q1308" s="28">
        <f>data[[#This Row],[Costo Producto
Proveedor ($/Unid)]]*data[[#This Row],[Cantidad]]</f>
        <v>0</v>
      </c>
      <c r="R1308" s="28">
        <f>data[[#This Row],[Cantidad]]*data[[#This Row],[Precio de Venta Cliente ($/Unid)]]</f>
        <v>35.5</v>
      </c>
      <c r="S1308" s="29"/>
      <c r="T1308" s="109" t="s">
        <v>2004</v>
      </c>
      <c r="U1308" s="109"/>
      <c r="V1308" s="30" t="s">
        <v>46</v>
      </c>
      <c r="W1308" s="32" t="s">
        <v>46</v>
      </c>
      <c r="X1308" s="106" t="s">
        <v>503</v>
      </c>
      <c r="Y1308" s="106" t="s">
        <v>503</v>
      </c>
      <c r="Z1308" s="106" t="s">
        <v>12</v>
      </c>
      <c r="AA1308" s="109"/>
    </row>
    <row r="1309" spans="2:27" x14ac:dyDescent="0.25">
      <c r="B1309" s="192"/>
      <c r="C1309" s="174" t="str">
        <f>TEXT(data[[#This Row],[Fecha de Envío
Cotización]],"MMMM")</f>
        <v>junio</v>
      </c>
      <c r="D1309" s="192">
        <v>44372</v>
      </c>
      <c r="E1309" s="192"/>
      <c r="F1309" s="192"/>
      <c r="G1309" s="109"/>
      <c r="H1309" s="192"/>
      <c r="I1309" s="86" t="s">
        <v>2459</v>
      </c>
      <c r="J1309" s="87">
        <v>866</v>
      </c>
      <c r="K1309" s="110" t="s">
        <v>31</v>
      </c>
      <c r="L1309" s="106"/>
      <c r="M1309" t="s">
        <v>2466</v>
      </c>
      <c r="N1309" s="106">
        <v>10</v>
      </c>
      <c r="O1309" s="107"/>
      <c r="P1309" s="27">
        <v>2.81</v>
      </c>
      <c r="Q1309" s="28">
        <f>data[[#This Row],[Costo Producto
Proveedor ($/Unid)]]*data[[#This Row],[Cantidad]]</f>
        <v>0</v>
      </c>
      <c r="R1309" s="28">
        <f>data[[#This Row],[Cantidad]]*data[[#This Row],[Precio de Venta Cliente ($/Unid)]]</f>
        <v>28.1</v>
      </c>
      <c r="S1309" s="29"/>
      <c r="T1309" s="109" t="s">
        <v>2004</v>
      </c>
      <c r="U1309" s="109"/>
      <c r="V1309" s="30" t="s">
        <v>46</v>
      </c>
      <c r="W1309" s="32" t="s">
        <v>46</v>
      </c>
      <c r="X1309" s="106" t="s">
        <v>503</v>
      </c>
      <c r="Y1309" s="106" t="s">
        <v>503</v>
      </c>
      <c r="Z1309" s="106" t="s">
        <v>12</v>
      </c>
      <c r="AA1309" s="109"/>
    </row>
    <row r="1310" spans="2:27" x14ac:dyDescent="0.25">
      <c r="B1310" s="192"/>
      <c r="C1310" s="174" t="str">
        <f>TEXT(data[[#This Row],[Fecha de Envío
Cotización]],"MMMM")</f>
        <v>junio</v>
      </c>
      <c r="D1310" s="192">
        <v>44372</v>
      </c>
      <c r="E1310" s="192"/>
      <c r="F1310" s="192"/>
      <c r="G1310" s="109"/>
      <c r="H1310" s="192"/>
      <c r="I1310" s="86" t="s">
        <v>2460</v>
      </c>
      <c r="J1310" s="87">
        <v>866</v>
      </c>
      <c r="K1310" s="110" t="s">
        <v>31</v>
      </c>
      <c r="L1310" s="106"/>
      <c r="M1310" t="s">
        <v>2467</v>
      </c>
      <c r="N1310" s="106">
        <v>10</v>
      </c>
      <c r="O1310" s="107"/>
      <c r="P1310" s="27">
        <v>5.89</v>
      </c>
      <c r="Q1310" s="28">
        <f>data[[#This Row],[Costo Producto
Proveedor ($/Unid)]]*data[[#This Row],[Cantidad]]</f>
        <v>0</v>
      </c>
      <c r="R1310" s="28">
        <f>data[[#This Row],[Cantidad]]*data[[#This Row],[Precio de Venta Cliente ($/Unid)]]</f>
        <v>58.9</v>
      </c>
      <c r="S1310" s="29"/>
      <c r="T1310" s="109" t="s">
        <v>2004</v>
      </c>
      <c r="U1310" s="109"/>
      <c r="V1310" s="30" t="s">
        <v>46</v>
      </c>
      <c r="W1310" s="32" t="s">
        <v>46</v>
      </c>
      <c r="X1310" s="106" t="s">
        <v>503</v>
      </c>
      <c r="Y1310" s="106" t="s">
        <v>503</v>
      </c>
      <c r="Z1310" s="106" t="s">
        <v>12</v>
      </c>
      <c r="AA1310" s="109"/>
    </row>
    <row r="1311" spans="2:27" x14ac:dyDescent="0.25">
      <c r="B1311" s="192"/>
      <c r="C1311" s="174" t="str">
        <f>TEXT(data[[#This Row],[Fecha de Envío
Cotización]],"MMMM")</f>
        <v>junio</v>
      </c>
      <c r="D1311" s="192">
        <v>44372</v>
      </c>
      <c r="E1311" s="192"/>
      <c r="F1311" s="192"/>
      <c r="G1311" s="109"/>
      <c r="H1311" s="192"/>
      <c r="I1311" s="86" t="s">
        <v>2461</v>
      </c>
      <c r="J1311" s="87">
        <v>866</v>
      </c>
      <c r="K1311" s="110" t="s">
        <v>31</v>
      </c>
      <c r="L1311" s="106"/>
      <c r="M1311" t="s">
        <v>2468</v>
      </c>
      <c r="N1311" s="106">
        <v>10</v>
      </c>
      <c r="O1311" s="107"/>
      <c r="P1311" s="27">
        <v>16.32</v>
      </c>
      <c r="Q1311" s="28">
        <f>data[[#This Row],[Costo Producto
Proveedor ($/Unid)]]*data[[#This Row],[Cantidad]]</f>
        <v>0</v>
      </c>
      <c r="R1311" s="28">
        <f>data[[#This Row],[Cantidad]]*data[[#This Row],[Precio de Venta Cliente ($/Unid)]]</f>
        <v>163.19999999999999</v>
      </c>
      <c r="S1311" s="29"/>
      <c r="T1311" s="109" t="s">
        <v>2004</v>
      </c>
      <c r="U1311" s="109"/>
      <c r="V1311" s="30" t="s">
        <v>46</v>
      </c>
      <c r="W1311" s="32" t="s">
        <v>46</v>
      </c>
      <c r="X1311" s="106" t="s">
        <v>503</v>
      </c>
      <c r="Y1311" s="106" t="s">
        <v>503</v>
      </c>
      <c r="Z1311" s="106" t="s">
        <v>12</v>
      </c>
      <c r="AA1311" s="109"/>
    </row>
    <row r="1312" spans="2:27" x14ac:dyDescent="0.25">
      <c r="B1312" s="192"/>
      <c r="C1312" s="174" t="str">
        <f>TEXT(data[[#This Row],[Fecha de Envío
Cotización]],"MMMM")</f>
        <v>junio</v>
      </c>
      <c r="D1312" s="192">
        <v>44372</v>
      </c>
      <c r="E1312" s="192"/>
      <c r="F1312" s="192"/>
      <c r="G1312" s="109"/>
      <c r="H1312" s="192"/>
      <c r="I1312" s="86" t="s">
        <v>2462</v>
      </c>
      <c r="J1312" s="87">
        <v>866</v>
      </c>
      <c r="K1312" s="110" t="s">
        <v>31</v>
      </c>
      <c r="L1312" s="106"/>
      <c r="M1312" t="s">
        <v>2469</v>
      </c>
      <c r="N1312" s="106">
        <v>10</v>
      </c>
      <c r="O1312" s="107"/>
      <c r="P1312" s="27">
        <v>14.89</v>
      </c>
      <c r="Q1312" s="28">
        <f>data[[#This Row],[Costo Producto
Proveedor ($/Unid)]]*data[[#This Row],[Cantidad]]</f>
        <v>0</v>
      </c>
      <c r="R1312" s="28">
        <f>data[[#This Row],[Cantidad]]*data[[#This Row],[Precio de Venta Cliente ($/Unid)]]</f>
        <v>148.9</v>
      </c>
      <c r="S1312" s="29"/>
      <c r="T1312" s="109" t="s">
        <v>2004</v>
      </c>
      <c r="U1312" s="109"/>
      <c r="V1312" s="30" t="s">
        <v>46</v>
      </c>
      <c r="W1312" s="32" t="s">
        <v>46</v>
      </c>
      <c r="X1312" s="106" t="s">
        <v>503</v>
      </c>
      <c r="Y1312" s="106" t="s">
        <v>503</v>
      </c>
      <c r="Z1312" s="106" t="s">
        <v>12</v>
      </c>
      <c r="AA1312" s="109"/>
    </row>
    <row r="1313" spans="2:27" x14ac:dyDescent="0.25">
      <c r="B1313" s="192"/>
      <c r="C1313" s="174" t="str">
        <f>TEXT(data[[#This Row],[Fecha de Envío
Cotización]],"MMMM")</f>
        <v>junio</v>
      </c>
      <c r="D1313" s="192">
        <v>44372</v>
      </c>
      <c r="E1313" s="192"/>
      <c r="F1313" s="192"/>
      <c r="G1313" s="109"/>
      <c r="H1313" s="192"/>
      <c r="I1313" s="86" t="s">
        <v>2463</v>
      </c>
      <c r="J1313" s="87">
        <v>866</v>
      </c>
      <c r="K1313" s="110" t="s">
        <v>31</v>
      </c>
      <c r="L1313" s="106"/>
      <c r="M1313" t="s">
        <v>2470</v>
      </c>
      <c r="N1313" s="106">
        <v>10</v>
      </c>
      <c r="O1313" s="107"/>
      <c r="P1313" s="27">
        <v>15.9</v>
      </c>
      <c r="Q1313" s="28">
        <f>data[[#This Row],[Costo Producto
Proveedor ($/Unid)]]*data[[#This Row],[Cantidad]]</f>
        <v>0</v>
      </c>
      <c r="R1313" s="28">
        <f>data[[#This Row],[Cantidad]]*data[[#This Row],[Precio de Venta Cliente ($/Unid)]]</f>
        <v>159</v>
      </c>
      <c r="S1313" s="29"/>
      <c r="T1313" s="109" t="s">
        <v>2004</v>
      </c>
      <c r="U1313" s="109"/>
      <c r="V1313" s="30" t="s">
        <v>46</v>
      </c>
      <c r="W1313" s="32" t="s">
        <v>46</v>
      </c>
      <c r="X1313" s="106" t="s">
        <v>503</v>
      </c>
      <c r="Y1313" s="106" t="s">
        <v>503</v>
      </c>
      <c r="Z1313" s="106" t="s">
        <v>12</v>
      </c>
      <c r="AA1313" s="109"/>
    </row>
    <row r="1314" spans="2:27" x14ac:dyDescent="0.25">
      <c r="B1314" s="192"/>
      <c r="C1314" s="174" t="str">
        <f>TEXT(data[[#This Row],[Fecha de Envío
Cotización]],"MMMM")</f>
        <v>junio</v>
      </c>
      <c r="D1314" s="192">
        <v>44372</v>
      </c>
      <c r="E1314" s="192"/>
      <c r="F1314" s="192"/>
      <c r="G1314" s="109"/>
      <c r="H1314" s="192"/>
      <c r="I1314" s="86" t="s">
        <v>2464</v>
      </c>
      <c r="J1314" s="87">
        <v>866</v>
      </c>
      <c r="K1314" s="110" t="s">
        <v>31</v>
      </c>
      <c r="L1314" s="106"/>
      <c r="M1314" t="s">
        <v>2471</v>
      </c>
      <c r="N1314" s="106">
        <v>10</v>
      </c>
      <c r="O1314" s="107"/>
      <c r="P1314" s="27">
        <v>6.73</v>
      </c>
      <c r="Q1314" s="28">
        <f>data[[#This Row],[Costo Producto
Proveedor ($/Unid)]]*data[[#This Row],[Cantidad]]</f>
        <v>0</v>
      </c>
      <c r="R1314" s="28">
        <f>data[[#This Row],[Cantidad]]*data[[#This Row],[Precio de Venta Cliente ($/Unid)]]</f>
        <v>67.300000000000011</v>
      </c>
      <c r="S1314" s="29"/>
      <c r="T1314" s="109" t="s">
        <v>2004</v>
      </c>
      <c r="U1314" s="109"/>
      <c r="V1314" s="30" t="s">
        <v>46</v>
      </c>
      <c r="W1314" s="32" t="s">
        <v>46</v>
      </c>
      <c r="X1314" s="106" t="s">
        <v>503</v>
      </c>
      <c r="Y1314" s="106" t="s">
        <v>503</v>
      </c>
      <c r="Z1314" s="106" t="s">
        <v>12</v>
      </c>
      <c r="AA1314" s="109"/>
    </row>
    <row r="1315" spans="2:27" x14ac:dyDescent="0.25">
      <c r="B1315" s="192"/>
      <c r="C1315" s="174" t="str">
        <f>TEXT(data[[#This Row],[Fecha de Envío
Cotización]],"MMMM")</f>
        <v>junio</v>
      </c>
      <c r="D1315" s="192">
        <v>44375</v>
      </c>
      <c r="E1315" s="192"/>
      <c r="F1315" s="192"/>
      <c r="G1315" s="109"/>
      <c r="H1315" s="192"/>
      <c r="I1315" s="86" t="s">
        <v>2514</v>
      </c>
      <c r="J1315" s="87">
        <v>876</v>
      </c>
      <c r="K1315" s="110" t="s">
        <v>31</v>
      </c>
      <c r="L1315" s="106"/>
      <c r="M1315" t="s">
        <v>2515</v>
      </c>
      <c r="N1315" s="106">
        <v>1000</v>
      </c>
      <c r="O1315" s="107"/>
      <c r="P1315" s="27">
        <v>49.3</v>
      </c>
      <c r="Q1315" s="28">
        <f>data[[#This Row],[Costo Producto
Proveedor ($/Unid)]]*data[[#This Row],[Cantidad]]</f>
        <v>0</v>
      </c>
      <c r="R1315" s="28">
        <f>data[[#This Row],[Cantidad]]*data[[#This Row],[Precio de Venta Cliente ($/Unid)]]</f>
        <v>49300</v>
      </c>
      <c r="S1315" s="29"/>
      <c r="T1315" s="109" t="s">
        <v>77</v>
      </c>
      <c r="U1315" s="109"/>
      <c r="V1315" s="30" t="s">
        <v>46</v>
      </c>
      <c r="W1315" s="32" t="s">
        <v>46</v>
      </c>
      <c r="X1315" s="106" t="s">
        <v>503</v>
      </c>
      <c r="Y1315" s="106" t="s">
        <v>503</v>
      </c>
      <c r="Z1315" s="106" t="s">
        <v>12</v>
      </c>
      <c r="AA1315" s="109"/>
    </row>
    <row r="1316" spans="2:27" x14ac:dyDescent="0.25">
      <c r="B1316" s="192"/>
      <c r="C1316" s="174" t="str">
        <f>TEXT(data[[#This Row],[Fecha de Envío
Cotización]],"MMMM")</f>
        <v>junio</v>
      </c>
      <c r="D1316" s="192">
        <v>44376</v>
      </c>
      <c r="E1316" s="192"/>
      <c r="F1316" s="192"/>
      <c r="G1316" s="109"/>
      <c r="H1316" s="192"/>
      <c r="I1316" s="86" t="s">
        <v>2521</v>
      </c>
      <c r="J1316" s="87">
        <v>879</v>
      </c>
      <c r="K1316" s="110" t="s">
        <v>31</v>
      </c>
      <c r="L1316" s="106"/>
      <c r="M1316" t="s">
        <v>2527</v>
      </c>
      <c r="N1316" s="106">
        <v>2</v>
      </c>
      <c r="O1316" s="107"/>
      <c r="P1316" s="27">
        <v>498.96</v>
      </c>
      <c r="Q1316" s="28">
        <f>data[[#This Row],[Costo Producto
Proveedor ($/Unid)]]*data[[#This Row],[Cantidad]]</f>
        <v>0</v>
      </c>
      <c r="R1316" s="28">
        <f>data[[#This Row],[Cantidad]]*data[[#This Row],[Precio de Venta Cliente ($/Unid)]]</f>
        <v>997.92</v>
      </c>
      <c r="S1316" s="29"/>
      <c r="T1316" s="109" t="s">
        <v>2004</v>
      </c>
      <c r="U1316" s="109"/>
      <c r="V1316" s="30" t="s">
        <v>46</v>
      </c>
      <c r="W1316" s="32" t="s">
        <v>46</v>
      </c>
      <c r="X1316" s="106" t="s">
        <v>503</v>
      </c>
      <c r="Y1316" s="106" t="s">
        <v>503</v>
      </c>
      <c r="Z1316" s="106" t="s">
        <v>12</v>
      </c>
      <c r="AA1316" s="109"/>
    </row>
    <row r="1317" spans="2:27" x14ac:dyDescent="0.25">
      <c r="B1317" s="192"/>
      <c r="C1317" s="174" t="str">
        <f>TEXT(data[[#This Row],[Fecha de Envío
Cotización]],"MMMM")</f>
        <v>junio</v>
      </c>
      <c r="D1317" s="192">
        <v>44376</v>
      </c>
      <c r="E1317" s="192"/>
      <c r="F1317" s="192"/>
      <c r="G1317" s="109"/>
      <c r="H1317" s="192"/>
      <c r="I1317" s="86" t="s">
        <v>2447</v>
      </c>
      <c r="J1317" s="87">
        <v>879</v>
      </c>
      <c r="K1317" s="110" t="s">
        <v>31</v>
      </c>
      <c r="L1317" s="106"/>
      <c r="M1317" t="s">
        <v>2454</v>
      </c>
      <c r="N1317" s="106">
        <v>3</v>
      </c>
      <c r="O1317" s="107"/>
      <c r="P1317" s="27">
        <v>38.619999999999997</v>
      </c>
      <c r="Q1317" s="28">
        <f>data[[#This Row],[Costo Producto
Proveedor ($/Unid)]]*data[[#This Row],[Cantidad]]</f>
        <v>0</v>
      </c>
      <c r="R1317" s="28">
        <f>data[[#This Row],[Cantidad]]*data[[#This Row],[Precio de Venta Cliente ($/Unid)]]</f>
        <v>115.85999999999999</v>
      </c>
      <c r="S1317" s="29"/>
      <c r="T1317" s="109" t="s">
        <v>2004</v>
      </c>
      <c r="U1317" s="109"/>
      <c r="V1317" s="30" t="s">
        <v>46</v>
      </c>
      <c r="W1317" s="32" t="s">
        <v>46</v>
      </c>
      <c r="X1317" s="106" t="s">
        <v>503</v>
      </c>
      <c r="Y1317" s="106" t="s">
        <v>503</v>
      </c>
      <c r="Z1317" s="106" t="s">
        <v>12</v>
      </c>
      <c r="AA1317" s="109"/>
    </row>
    <row r="1318" spans="2:27" x14ac:dyDescent="0.25">
      <c r="B1318" s="192"/>
      <c r="C1318" s="174" t="str">
        <f>TEXT(data[[#This Row],[Fecha de Envío
Cotización]],"MMMM")</f>
        <v>junio</v>
      </c>
      <c r="D1318" s="192">
        <v>44376</v>
      </c>
      <c r="E1318" s="192"/>
      <c r="F1318" s="192"/>
      <c r="G1318" s="109"/>
      <c r="H1318" s="192"/>
      <c r="I1318" s="86" t="s">
        <v>2522</v>
      </c>
      <c r="J1318" s="87">
        <v>879</v>
      </c>
      <c r="K1318" s="110" t="s">
        <v>31</v>
      </c>
      <c r="L1318" s="106"/>
      <c r="M1318" t="s">
        <v>2528</v>
      </c>
      <c r="N1318" s="106">
        <v>5</v>
      </c>
      <c r="O1318" s="107"/>
      <c r="P1318" s="27">
        <v>18.59</v>
      </c>
      <c r="Q1318" s="28">
        <f>data[[#This Row],[Costo Producto
Proveedor ($/Unid)]]*data[[#This Row],[Cantidad]]</f>
        <v>0</v>
      </c>
      <c r="R1318" s="28">
        <f>data[[#This Row],[Cantidad]]*data[[#This Row],[Precio de Venta Cliente ($/Unid)]]</f>
        <v>92.95</v>
      </c>
      <c r="S1318" s="29"/>
      <c r="T1318" s="109" t="s">
        <v>2004</v>
      </c>
      <c r="U1318" s="109"/>
      <c r="V1318" s="30" t="s">
        <v>46</v>
      </c>
      <c r="W1318" s="32" t="s">
        <v>46</v>
      </c>
      <c r="X1318" s="106" t="s">
        <v>503</v>
      </c>
      <c r="Y1318" s="106" t="s">
        <v>503</v>
      </c>
      <c r="Z1318" s="106" t="s">
        <v>12</v>
      </c>
      <c r="AA1318" s="109"/>
    </row>
    <row r="1319" spans="2:27" x14ac:dyDescent="0.25">
      <c r="B1319" s="192"/>
      <c r="C1319" s="174" t="str">
        <f>TEXT(data[[#This Row],[Fecha de Envío
Cotización]],"MMMM")</f>
        <v>junio</v>
      </c>
      <c r="D1319" s="192">
        <v>44376</v>
      </c>
      <c r="E1319" s="192"/>
      <c r="F1319" s="192"/>
      <c r="G1319" s="109"/>
      <c r="H1319" s="192"/>
      <c r="I1319" s="86" t="s">
        <v>2523</v>
      </c>
      <c r="J1319" s="87">
        <v>879</v>
      </c>
      <c r="K1319" s="110" t="s">
        <v>31</v>
      </c>
      <c r="L1319" s="106"/>
      <c r="M1319" t="s">
        <v>2529</v>
      </c>
      <c r="N1319" s="106">
        <v>5</v>
      </c>
      <c r="O1319" s="107"/>
      <c r="P1319" s="27">
        <v>71.02</v>
      </c>
      <c r="Q1319" s="28">
        <f>data[[#This Row],[Costo Producto
Proveedor ($/Unid)]]*data[[#This Row],[Cantidad]]</f>
        <v>0</v>
      </c>
      <c r="R1319" s="28">
        <f>data[[#This Row],[Cantidad]]*data[[#This Row],[Precio de Venta Cliente ($/Unid)]]</f>
        <v>355.09999999999997</v>
      </c>
      <c r="S1319" s="29"/>
      <c r="T1319" s="109" t="s">
        <v>2004</v>
      </c>
      <c r="U1319" s="109"/>
      <c r="V1319" s="30" t="s">
        <v>46</v>
      </c>
      <c r="W1319" s="32" t="s">
        <v>46</v>
      </c>
      <c r="X1319" s="106" t="s">
        <v>503</v>
      </c>
      <c r="Y1319" s="106" t="s">
        <v>503</v>
      </c>
      <c r="Z1319" s="106" t="s">
        <v>12</v>
      </c>
      <c r="AA1319" s="109"/>
    </row>
    <row r="1320" spans="2:27" x14ac:dyDescent="0.25">
      <c r="B1320" s="192"/>
      <c r="C1320" s="174" t="str">
        <f>TEXT(data[[#This Row],[Fecha de Envío
Cotización]],"MMMM")</f>
        <v>junio</v>
      </c>
      <c r="D1320" s="192">
        <v>44376</v>
      </c>
      <c r="E1320" s="192"/>
      <c r="F1320" s="192"/>
      <c r="G1320" s="109"/>
      <c r="H1320" s="192"/>
      <c r="I1320" s="86" t="s">
        <v>2524</v>
      </c>
      <c r="J1320" s="87">
        <v>879</v>
      </c>
      <c r="K1320" s="110" t="s">
        <v>31</v>
      </c>
      <c r="L1320" s="106"/>
      <c r="M1320" t="s">
        <v>2530</v>
      </c>
      <c r="N1320" s="106">
        <v>10</v>
      </c>
      <c r="O1320" s="107"/>
      <c r="P1320" s="27">
        <v>36.96</v>
      </c>
      <c r="Q1320" s="28">
        <f>data[[#This Row],[Costo Producto
Proveedor ($/Unid)]]*data[[#This Row],[Cantidad]]</f>
        <v>0</v>
      </c>
      <c r="R1320" s="28">
        <f>data[[#This Row],[Cantidad]]*data[[#This Row],[Precio de Venta Cliente ($/Unid)]]</f>
        <v>369.6</v>
      </c>
      <c r="S1320" s="29"/>
      <c r="T1320" s="109" t="s">
        <v>2004</v>
      </c>
      <c r="U1320" s="109"/>
      <c r="V1320" s="30" t="s">
        <v>46</v>
      </c>
      <c r="W1320" s="32" t="s">
        <v>46</v>
      </c>
      <c r="X1320" s="106" t="s">
        <v>503</v>
      </c>
      <c r="Y1320" s="106" t="s">
        <v>503</v>
      </c>
      <c r="Z1320" s="106" t="s">
        <v>12</v>
      </c>
      <c r="AA1320" s="109"/>
    </row>
    <row r="1321" spans="2:27" x14ac:dyDescent="0.25">
      <c r="B1321" s="192"/>
      <c r="C1321" s="174" t="str">
        <f>TEXT(data[[#This Row],[Fecha de Envío
Cotización]],"MMMM")</f>
        <v>junio</v>
      </c>
      <c r="D1321" s="192">
        <v>44376</v>
      </c>
      <c r="E1321" s="192"/>
      <c r="F1321" s="192"/>
      <c r="G1321" s="109"/>
      <c r="H1321" s="192"/>
      <c r="I1321" s="86" t="s">
        <v>2525</v>
      </c>
      <c r="J1321" s="87">
        <v>879</v>
      </c>
      <c r="K1321" s="110" t="s">
        <v>31</v>
      </c>
      <c r="L1321" s="106"/>
      <c r="M1321" t="s">
        <v>2531</v>
      </c>
      <c r="N1321" s="106">
        <v>3</v>
      </c>
      <c r="O1321" s="107"/>
      <c r="P1321" s="27">
        <v>116.16</v>
      </c>
      <c r="Q1321" s="28">
        <f>data[[#This Row],[Costo Producto
Proveedor ($/Unid)]]*data[[#This Row],[Cantidad]]</f>
        <v>0</v>
      </c>
      <c r="R1321" s="28">
        <f>data[[#This Row],[Cantidad]]*data[[#This Row],[Precio de Venta Cliente ($/Unid)]]</f>
        <v>348.48</v>
      </c>
      <c r="S1321" s="29"/>
      <c r="T1321" s="109" t="s">
        <v>2004</v>
      </c>
      <c r="U1321" s="109"/>
      <c r="V1321" s="30" t="s">
        <v>46</v>
      </c>
      <c r="W1321" s="32" t="s">
        <v>46</v>
      </c>
      <c r="X1321" s="106" t="s">
        <v>503</v>
      </c>
      <c r="Y1321" s="106" t="s">
        <v>503</v>
      </c>
      <c r="Z1321" s="106" t="s">
        <v>12</v>
      </c>
      <c r="AA1321" s="109"/>
    </row>
    <row r="1322" spans="2:27" x14ac:dyDescent="0.25">
      <c r="B1322" s="192"/>
      <c r="C1322" s="174" t="str">
        <f>TEXT(data[[#This Row],[Fecha de Envío
Cotización]],"MMMM")</f>
        <v>junio</v>
      </c>
      <c r="D1322" s="192">
        <v>44376</v>
      </c>
      <c r="E1322" s="192"/>
      <c r="F1322" s="192"/>
      <c r="G1322" s="109"/>
      <c r="H1322" s="192"/>
      <c r="I1322" s="86" t="s">
        <v>2526</v>
      </c>
      <c r="J1322" s="87">
        <v>879</v>
      </c>
      <c r="K1322" s="110" t="s">
        <v>31</v>
      </c>
      <c r="L1322" s="106"/>
      <c r="M1322" t="s">
        <v>2532</v>
      </c>
      <c r="N1322" s="106">
        <v>3</v>
      </c>
      <c r="O1322" s="107"/>
      <c r="P1322" s="27">
        <v>77</v>
      </c>
      <c r="Q1322" s="28">
        <f>data[[#This Row],[Costo Producto
Proveedor ($/Unid)]]*data[[#This Row],[Cantidad]]</f>
        <v>0</v>
      </c>
      <c r="R1322" s="28">
        <f>data[[#This Row],[Cantidad]]*data[[#This Row],[Precio de Venta Cliente ($/Unid)]]</f>
        <v>231</v>
      </c>
      <c r="S1322" s="29"/>
      <c r="T1322" s="109" t="s">
        <v>2004</v>
      </c>
      <c r="U1322" s="109"/>
      <c r="V1322" s="30" t="s">
        <v>46</v>
      </c>
      <c r="W1322" s="32" t="s">
        <v>46</v>
      </c>
      <c r="X1322" s="106" t="s">
        <v>503</v>
      </c>
      <c r="Y1322" s="106" t="s">
        <v>503</v>
      </c>
      <c r="Z1322" s="106" t="s">
        <v>12</v>
      </c>
      <c r="AA1322" s="109"/>
    </row>
    <row r="1323" spans="2:27" x14ac:dyDescent="0.25">
      <c r="B1323" s="192"/>
      <c r="C1323" s="174" t="str">
        <f>TEXT(data[[#This Row],[Fecha de Envío
Cotización]],"MMMM")</f>
        <v>junio</v>
      </c>
      <c r="D1323" s="192">
        <v>44376</v>
      </c>
      <c r="E1323" s="192"/>
      <c r="F1323" s="192"/>
      <c r="G1323" s="109"/>
      <c r="H1323" s="192"/>
      <c r="I1323" s="86" t="s">
        <v>2536</v>
      </c>
      <c r="J1323" s="87">
        <v>882</v>
      </c>
      <c r="K1323" s="110" t="s">
        <v>320</v>
      </c>
      <c r="L1323" s="106"/>
      <c r="M1323" t="s">
        <v>2537</v>
      </c>
      <c r="N1323" s="106">
        <v>3</v>
      </c>
      <c r="O1323" s="107"/>
      <c r="P1323" s="27">
        <v>825.98</v>
      </c>
      <c r="Q1323" s="28">
        <f>data[[#This Row],[Costo Producto
Proveedor ($/Unid)]]*data[[#This Row],[Cantidad]]</f>
        <v>0</v>
      </c>
      <c r="R1323" s="28">
        <f>data[[#This Row],[Cantidad]]*data[[#This Row],[Precio de Venta Cliente ($/Unid)]]</f>
        <v>2477.94</v>
      </c>
      <c r="S1323" s="29"/>
      <c r="T1323" s="109" t="s">
        <v>2535</v>
      </c>
      <c r="U1323" s="109"/>
      <c r="V1323" s="30" t="s">
        <v>46</v>
      </c>
      <c r="W1323" s="32" t="s">
        <v>46</v>
      </c>
      <c r="X1323" s="106" t="s">
        <v>503</v>
      </c>
      <c r="Y1323" s="106" t="s">
        <v>503</v>
      </c>
      <c r="Z1323" s="106" t="s">
        <v>12</v>
      </c>
      <c r="AA1323" s="109"/>
    </row>
    <row r="1324" spans="2:27" x14ac:dyDescent="0.25">
      <c r="B1324" s="192"/>
      <c r="C1324" s="174" t="str">
        <f>TEXT(data[[#This Row],[Fecha de Envío
Cotización]],"MMMM")</f>
        <v>junio</v>
      </c>
      <c r="D1324" s="192">
        <v>44376</v>
      </c>
      <c r="E1324" s="192"/>
      <c r="F1324" s="192"/>
      <c r="G1324" s="109"/>
      <c r="H1324" s="192"/>
      <c r="I1324" s="86">
        <v>108833</v>
      </c>
      <c r="J1324" s="87">
        <v>888</v>
      </c>
      <c r="K1324" s="110" t="s">
        <v>130</v>
      </c>
      <c r="L1324" s="106"/>
      <c r="M1324" t="s">
        <v>2546</v>
      </c>
      <c r="N1324" s="106">
        <v>2</v>
      </c>
      <c r="O1324" s="107"/>
      <c r="P1324" s="27">
        <v>238.92</v>
      </c>
      <c r="Q1324" s="28">
        <f>data[[#This Row],[Costo Producto
Proveedor ($/Unid)]]*data[[#This Row],[Cantidad]]</f>
        <v>0</v>
      </c>
      <c r="R1324" s="28">
        <f>data[[#This Row],[Cantidad]]*data[[#This Row],[Precio de Venta Cliente ($/Unid)]]</f>
        <v>477.84</v>
      </c>
      <c r="S1324" s="29"/>
      <c r="T1324" s="109" t="s">
        <v>77</v>
      </c>
      <c r="U1324" s="109"/>
      <c r="V1324" s="30" t="s">
        <v>46</v>
      </c>
      <c r="W1324" s="32" t="s">
        <v>46</v>
      </c>
      <c r="X1324" s="106" t="s">
        <v>503</v>
      </c>
      <c r="Y1324" s="106" t="s">
        <v>503</v>
      </c>
      <c r="Z1324" s="106" t="s">
        <v>12</v>
      </c>
      <c r="AA1324" s="109"/>
    </row>
    <row r="1325" spans="2:27" x14ac:dyDescent="0.25">
      <c r="B1325" s="192"/>
      <c r="C1325" s="174" t="s">
        <v>2403</v>
      </c>
      <c r="D1325" s="192">
        <v>44377</v>
      </c>
      <c r="E1325" s="192"/>
      <c r="F1325" s="192"/>
      <c r="G1325" s="109"/>
      <c r="H1325" s="192"/>
      <c r="I1325" s="86">
        <v>100887</v>
      </c>
      <c r="J1325" s="87">
        <v>890</v>
      </c>
      <c r="K1325" s="110" t="s">
        <v>130</v>
      </c>
      <c r="L1325" s="106"/>
      <c r="M1325" t="s">
        <v>2557</v>
      </c>
      <c r="N1325" s="106">
        <v>3</v>
      </c>
      <c r="O1325" s="107"/>
      <c r="P1325" s="27">
        <v>623.70000000000005</v>
      </c>
      <c r="Q1325" s="28">
        <f>data[[#This Row],[Costo Producto
Proveedor ($/Unid)]]*data[[#This Row],[Cantidad]]</f>
        <v>0</v>
      </c>
      <c r="R1325" s="28">
        <f>data[[#This Row],[Cantidad]]*data[[#This Row],[Precio de Venta Cliente ($/Unid)]]</f>
        <v>1871.1000000000001</v>
      </c>
      <c r="S1325" s="29"/>
      <c r="T1325" s="109" t="s">
        <v>77</v>
      </c>
      <c r="U1325" s="109"/>
      <c r="V1325" s="30" t="s">
        <v>46</v>
      </c>
      <c r="W1325" s="32" t="s">
        <v>46</v>
      </c>
      <c r="X1325" s="106" t="s">
        <v>503</v>
      </c>
      <c r="Y1325" s="106" t="s">
        <v>503</v>
      </c>
      <c r="Z1325" s="106" t="s">
        <v>12</v>
      </c>
      <c r="AA1325" s="109"/>
    </row>
    <row r="1326" spans="2:27" x14ac:dyDescent="0.25">
      <c r="B1326" s="192"/>
      <c r="C1326" s="174" t="str">
        <f>TEXT(data[[#This Row],[Fecha de Envío
Cotización]],"MMMM")</f>
        <v>junio</v>
      </c>
      <c r="D1326" s="192">
        <v>44377</v>
      </c>
      <c r="E1326" s="192"/>
      <c r="F1326" s="192"/>
      <c r="G1326" s="109"/>
      <c r="H1326" s="192"/>
      <c r="I1326" s="86" t="s">
        <v>2514</v>
      </c>
      <c r="J1326" s="87">
        <v>895</v>
      </c>
      <c r="K1326" s="110" t="s">
        <v>31</v>
      </c>
      <c r="L1326" s="106"/>
      <c r="M1326" t="s">
        <v>2515</v>
      </c>
      <c r="N1326" s="106">
        <v>100</v>
      </c>
      <c r="O1326" s="107"/>
      <c r="P1326" s="27">
        <v>52</v>
      </c>
      <c r="Q1326" s="28">
        <f>data[[#This Row],[Costo Producto
Proveedor ($/Unid)]]*data[[#This Row],[Cantidad]]</f>
        <v>0</v>
      </c>
      <c r="R1326" s="28">
        <f>data[[#This Row],[Cantidad]]*data[[#This Row],[Precio de Venta Cliente ($/Unid)]]</f>
        <v>5200</v>
      </c>
      <c r="S1326" s="29"/>
      <c r="T1326" s="109" t="s">
        <v>2565</v>
      </c>
      <c r="U1326" s="109"/>
      <c r="V1326" s="30" t="s">
        <v>46</v>
      </c>
      <c r="W1326" s="32" t="s">
        <v>46</v>
      </c>
      <c r="X1326" s="106" t="s">
        <v>503</v>
      </c>
      <c r="Y1326" s="106" t="s">
        <v>503</v>
      </c>
      <c r="Z1326" s="106" t="s">
        <v>12</v>
      </c>
      <c r="AA1326" s="109"/>
    </row>
    <row r="1327" spans="2:27" x14ac:dyDescent="0.25">
      <c r="B1327" s="192"/>
      <c r="C1327" s="174" t="str">
        <f>TEXT(data[[#This Row],[Fecha de Envío
Cotización]],"MMMM")</f>
        <v>junio</v>
      </c>
      <c r="D1327" s="192">
        <v>44377</v>
      </c>
      <c r="E1327" s="192"/>
      <c r="F1327" s="192"/>
      <c r="G1327" s="109"/>
      <c r="H1327" s="192"/>
      <c r="I1327" s="86" t="s">
        <v>2181</v>
      </c>
      <c r="J1327" s="87">
        <v>896</v>
      </c>
      <c r="K1327" s="110" t="s">
        <v>31</v>
      </c>
      <c r="L1327" s="106"/>
      <c r="M1327" t="s">
        <v>2182</v>
      </c>
      <c r="N1327" s="106">
        <v>4</v>
      </c>
      <c r="O1327" s="107"/>
      <c r="P1327" s="27">
        <v>86.71</v>
      </c>
      <c r="Q1327" s="28">
        <f>data[[#This Row],[Costo Producto
Proveedor ($/Unid)]]*data[[#This Row],[Cantidad]]</f>
        <v>0</v>
      </c>
      <c r="R1327" s="28">
        <f>data[[#This Row],[Cantidad]]*data[[#This Row],[Precio de Venta Cliente ($/Unid)]]</f>
        <v>346.84</v>
      </c>
      <c r="S1327" s="29"/>
      <c r="T1327" s="109" t="s">
        <v>119</v>
      </c>
      <c r="U1327" s="109"/>
      <c r="V1327" s="30" t="s">
        <v>46</v>
      </c>
      <c r="W1327" s="32" t="s">
        <v>46</v>
      </c>
      <c r="X1327" s="106" t="s">
        <v>503</v>
      </c>
      <c r="Y1327" s="106" t="s">
        <v>503</v>
      </c>
      <c r="Z1327" s="106" t="s">
        <v>12</v>
      </c>
      <c r="AA1327" s="109"/>
    </row>
  </sheetData>
  <phoneticPr fontId="12" type="noConversion"/>
  <conditionalFormatting sqref="M1299:M1306 M1180:M1182 M1118:M1133 M1073:M1115 M1:M120 M678:M790 M792:M841 M966:M967 M1135:M1136 M163:M420 M444:M676 M1140:M1178 M1184:M1297 M981:M1071 M1308:M1315 M1318:M1048576">
    <cfRule type="duplicateValues" dxfId="130" priority="2"/>
  </conditionalFormatting>
  <conditionalFormatting sqref="M842:M864">
    <cfRule type="duplicateValues" dxfId="129" priority="1"/>
  </conditionalFormatting>
  <pageMargins left="0.7" right="0.7" top="0.75" bottom="0.75" header="0.3" footer="0.3"/>
  <pageSetup paperSize="9" orientation="landscape" r:id="rId1"/>
  <colBreaks count="1" manualBreakCount="1">
    <brk id="26" max="1026" man="1"/>
  </colBreaks>
  <ignoredErrors>
    <ignoredError sqref="E163:E438 E440:E449 E981:E1220 E1222 E1226:E1228 E1230:E1250 E1291 E471:E721 C10:C151 E9:E151 C471:C721 E1256:E1258 E1260:E1289 C1267:C1315 C981:C1259 C752:C841 C900:C923 C163:C467 C973:C975" unlockedFormula="1"/>
    <ignoredError sqref="J1202 J1203:J1233" numberStoredAsText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2:N14"/>
  <sheetViews>
    <sheetView showGridLines="0" workbookViewId="0">
      <selection activeCell="H7" sqref="H7"/>
    </sheetView>
  </sheetViews>
  <sheetFormatPr baseColWidth="10" defaultRowHeight="15" x14ac:dyDescent="0.25"/>
  <cols>
    <col min="2" max="2" width="15.7109375" bestFit="1" customWidth="1"/>
    <col min="3" max="14" width="11.42578125" style="113"/>
  </cols>
  <sheetData>
    <row r="2" spans="2:14" s="110" customFormat="1" ht="15.75" thickBot="1" x14ac:dyDescent="0.3">
      <c r="B2" s="184" t="s">
        <v>11</v>
      </c>
      <c r="C2" s="187" t="s">
        <v>1643</v>
      </c>
      <c r="D2" s="187" t="s">
        <v>1644</v>
      </c>
      <c r="E2" s="187" t="s">
        <v>1635</v>
      </c>
      <c r="F2" s="187" t="s">
        <v>1642</v>
      </c>
      <c r="G2" s="187" t="s">
        <v>1641</v>
      </c>
      <c r="H2" s="187" t="s">
        <v>1652</v>
      </c>
      <c r="I2" s="187" t="s">
        <v>201</v>
      </c>
      <c r="J2" s="187" t="s">
        <v>1653</v>
      </c>
      <c r="K2" s="187" t="s">
        <v>1654</v>
      </c>
      <c r="L2" s="187" t="s">
        <v>1655</v>
      </c>
      <c r="M2" s="187" t="s">
        <v>1656</v>
      </c>
      <c r="N2" s="187" t="s">
        <v>1657</v>
      </c>
    </row>
    <row r="3" spans="2:14" x14ac:dyDescent="0.25">
      <c r="B3" s="105" t="s">
        <v>41</v>
      </c>
      <c r="C3" s="113">
        <v>0</v>
      </c>
      <c r="D3" s="113">
        <v>0</v>
      </c>
      <c r="E3" s="113">
        <v>8000</v>
      </c>
      <c r="F3" s="113">
        <v>8000</v>
      </c>
      <c r="G3" s="113">
        <v>15000</v>
      </c>
      <c r="H3" s="113">
        <v>15000</v>
      </c>
    </row>
    <row r="4" spans="2:14" x14ac:dyDescent="0.25">
      <c r="B4" s="105" t="s">
        <v>68</v>
      </c>
      <c r="C4" s="113">
        <v>0</v>
      </c>
      <c r="D4" s="113">
        <v>0</v>
      </c>
      <c r="E4" s="113">
        <v>8000</v>
      </c>
      <c r="F4" s="113">
        <v>8000</v>
      </c>
      <c r="G4" s="113">
        <v>15000</v>
      </c>
      <c r="H4" s="113">
        <v>15000</v>
      </c>
    </row>
    <row r="5" spans="2:14" x14ac:dyDescent="0.25">
      <c r="B5" s="105" t="s">
        <v>1163</v>
      </c>
      <c r="C5" s="113">
        <v>0</v>
      </c>
      <c r="D5" s="113">
        <v>0</v>
      </c>
      <c r="E5" s="113">
        <v>31000</v>
      </c>
      <c r="F5" s="113">
        <v>54000</v>
      </c>
      <c r="G5" s="113">
        <v>110000</v>
      </c>
      <c r="H5" s="113">
        <v>110000</v>
      </c>
    </row>
    <row r="6" spans="2:14" x14ac:dyDescent="0.25">
      <c r="B6" s="105" t="s">
        <v>944</v>
      </c>
      <c r="C6" s="113">
        <v>0</v>
      </c>
      <c r="D6" s="113">
        <v>0</v>
      </c>
      <c r="E6" s="113">
        <v>15000</v>
      </c>
      <c r="F6" s="113">
        <v>15000</v>
      </c>
      <c r="G6" s="113">
        <v>0</v>
      </c>
      <c r="H6" s="113">
        <v>0</v>
      </c>
    </row>
    <row r="7" spans="2:14" x14ac:dyDescent="0.25">
      <c r="B7" s="105" t="s">
        <v>50</v>
      </c>
      <c r="C7" s="113">
        <v>0</v>
      </c>
      <c r="D7" s="113">
        <v>0</v>
      </c>
      <c r="E7" s="113">
        <v>20000</v>
      </c>
      <c r="F7" s="113">
        <v>15000</v>
      </c>
      <c r="G7" s="113">
        <v>65000</v>
      </c>
      <c r="H7" s="113">
        <v>30000</v>
      </c>
    </row>
    <row r="8" spans="2:14" x14ac:dyDescent="0.25">
      <c r="B8" s="105" t="s">
        <v>945</v>
      </c>
      <c r="C8" s="113">
        <v>0</v>
      </c>
      <c r="D8" s="113">
        <v>0</v>
      </c>
      <c r="E8" s="113">
        <v>8000</v>
      </c>
      <c r="F8" s="113">
        <v>8000</v>
      </c>
      <c r="G8" s="113">
        <v>15000</v>
      </c>
      <c r="H8" s="113">
        <v>15000</v>
      </c>
    </row>
    <row r="9" spans="2:14" ht="15.75" thickBot="1" x14ac:dyDescent="0.3">
      <c r="B9" s="186" t="s">
        <v>1671</v>
      </c>
      <c r="C9" s="185">
        <f>SUM(C3:C8)</f>
        <v>0</v>
      </c>
      <c r="D9" s="185">
        <f t="shared" ref="D9:N9" si="0">SUM(D3:D8)</f>
        <v>0</v>
      </c>
      <c r="E9" s="185">
        <f t="shared" si="0"/>
        <v>90000</v>
      </c>
      <c r="F9" s="185">
        <f t="shared" si="0"/>
        <v>108000</v>
      </c>
      <c r="G9" s="185">
        <f t="shared" si="0"/>
        <v>220000</v>
      </c>
      <c r="H9" s="185">
        <f t="shared" si="0"/>
        <v>185000</v>
      </c>
      <c r="I9" s="185">
        <f t="shared" si="0"/>
        <v>0</v>
      </c>
      <c r="J9" s="185">
        <f t="shared" si="0"/>
        <v>0</v>
      </c>
      <c r="K9" s="185">
        <f t="shared" si="0"/>
        <v>0</v>
      </c>
      <c r="L9" s="185">
        <f t="shared" si="0"/>
        <v>0</v>
      </c>
      <c r="M9" s="185">
        <f t="shared" si="0"/>
        <v>0</v>
      </c>
      <c r="N9" s="185">
        <f t="shared" si="0"/>
        <v>0</v>
      </c>
    </row>
    <row r="10" spans="2:14" x14ac:dyDescent="0.25">
      <c r="B10" s="105"/>
    </row>
    <row r="11" spans="2:14" x14ac:dyDescent="0.25">
      <c r="B11" s="105"/>
    </row>
    <row r="12" spans="2:14" x14ac:dyDescent="0.25">
      <c r="B12" s="105"/>
    </row>
    <row r="13" spans="2:14" x14ac:dyDescent="0.25">
      <c r="B13" s="105"/>
    </row>
    <row r="14" spans="2:14" x14ac:dyDescent="0.25">
      <c r="B14" s="10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2:X747"/>
  <sheetViews>
    <sheetView showGridLines="0" tabSelected="1" zoomScale="86" zoomScaleNormal="86" workbookViewId="0">
      <selection activeCell="I2" sqref="I2"/>
    </sheetView>
  </sheetViews>
  <sheetFormatPr baseColWidth="10" defaultRowHeight="15" x14ac:dyDescent="0.25"/>
  <cols>
    <col min="1" max="1" width="28.5703125" customWidth="1"/>
    <col min="2" max="2" width="24.140625" style="46" bestFit="1" customWidth="1"/>
    <col min="3" max="3" width="18.85546875" style="46" bestFit="1" customWidth="1"/>
    <col min="4" max="4" width="17.7109375" style="3" customWidth="1"/>
    <col min="5" max="5" width="17" style="95" customWidth="1"/>
    <col min="6" max="6" width="21.85546875" style="103" customWidth="1"/>
    <col min="7" max="7" width="12" style="103" customWidth="1"/>
    <col min="8" max="8" width="32.7109375" style="42" customWidth="1"/>
    <col min="9" max="9" width="61.140625" customWidth="1"/>
    <col min="10" max="10" width="15.140625" customWidth="1"/>
    <col min="11" max="11" width="15.28515625" style="45" customWidth="1"/>
    <col min="12" max="12" width="21.42578125" style="122" bestFit="1" customWidth="1"/>
    <col min="13" max="13" width="22.140625" customWidth="1"/>
    <col min="14" max="15" width="22.140625" style="105" customWidth="1"/>
    <col min="16" max="16" width="19.42578125" style="218" customWidth="1"/>
    <col min="17" max="17" width="19.42578125" style="45" customWidth="1"/>
    <col min="18" max="18" width="14.5703125" style="105" customWidth="1"/>
    <col min="19" max="19" width="13.42578125" customWidth="1"/>
    <col min="20" max="20" width="17.140625" customWidth="1"/>
    <col min="21" max="21" width="13" customWidth="1"/>
    <col min="22" max="22" width="14.7109375" customWidth="1"/>
    <col min="23" max="23" width="20.28515625" style="50" customWidth="1"/>
    <col min="24" max="24" width="101" bestFit="1" customWidth="1"/>
    <col min="25" max="25" width="14.140625" customWidth="1"/>
  </cols>
  <sheetData>
    <row r="2" spans="2:24" s="38" customFormat="1" x14ac:dyDescent="0.25">
      <c r="B2" s="46"/>
      <c r="C2" s="46"/>
      <c r="D2" s="3"/>
      <c r="E2" s="95"/>
      <c r="F2" s="103"/>
      <c r="G2" s="103"/>
      <c r="H2" s="42"/>
      <c r="K2" s="45"/>
      <c r="L2" s="122"/>
      <c r="N2" s="105"/>
      <c r="O2" s="105"/>
      <c r="P2" s="218"/>
      <c r="Q2" s="45"/>
      <c r="R2" s="105"/>
      <c r="W2" s="50"/>
    </row>
    <row r="3" spans="2:24" s="38" customFormat="1" x14ac:dyDescent="0.25">
      <c r="B3" s="46"/>
      <c r="C3" s="46"/>
      <c r="D3" s="3"/>
      <c r="E3" s="95"/>
      <c r="F3" s="103"/>
      <c r="G3" s="103"/>
      <c r="H3" s="42"/>
      <c r="K3" s="45"/>
      <c r="L3" s="122" t="s">
        <v>1511</v>
      </c>
      <c r="M3" s="38">
        <v>545</v>
      </c>
      <c r="N3" s="38">
        <v>590</v>
      </c>
      <c r="P3" s="218"/>
      <c r="Q3" s="45"/>
      <c r="R3" s="105"/>
      <c r="W3" s="217" t="s">
        <v>1916</v>
      </c>
    </row>
    <row r="4" spans="2:24" s="50" customFormat="1" x14ac:dyDescent="0.25">
      <c r="B4" s="46"/>
      <c r="C4" s="46"/>
      <c r="D4" s="3"/>
      <c r="E4" s="95"/>
      <c r="F4" s="103"/>
      <c r="G4" s="103"/>
      <c r="H4" s="54"/>
      <c r="K4" s="45"/>
      <c r="L4" s="122" t="s">
        <v>1512</v>
      </c>
      <c r="M4" s="50">
        <v>990</v>
      </c>
      <c r="N4" s="105"/>
      <c r="O4" s="113"/>
      <c r="P4" s="222"/>
      <c r="Q4" s="45"/>
      <c r="R4" s="105"/>
    </row>
    <row r="5" spans="2:24" s="50" customFormat="1" x14ac:dyDescent="0.25">
      <c r="B5" s="46"/>
      <c r="C5" s="46"/>
      <c r="D5" s="3"/>
      <c r="E5" s="95"/>
      <c r="F5" s="103"/>
      <c r="G5" s="103"/>
      <c r="H5" s="54"/>
      <c r="K5" s="45"/>
      <c r="L5" s="122"/>
      <c r="N5" s="105"/>
      <c r="O5" s="105"/>
      <c r="P5" s="218"/>
      <c r="Q5" s="45"/>
      <c r="R5" s="105"/>
      <c r="X5" s="217" t="s">
        <v>1915</v>
      </c>
    </row>
    <row r="6" spans="2:24" s="38" customFormat="1" x14ac:dyDescent="0.25">
      <c r="B6" s="46"/>
      <c r="C6" s="46"/>
      <c r="D6" s="3"/>
      <c r="E6" s="95"/>
      <c r="F6" s="103"/>
      <c r="G6" s="103"/>
      <c r="H6" s="42"/>
      <c r="K6" s="45"/>
      <c r="L6" s="122"/>
      <c r="N6" s="105"/>
      <c r="O6" s="105"/>
      <c r="P6" s="218"/>
      <c r="Q6" s="45"/>
      <c r="R6" s="105"/>
      <c r="W6" s="50"/>
    </row>
    <row r="7" spans="2:24" s="75" customFormat="1" ht="37.5" x14ac:dyDescent="0.25">
      <c r="B7" s="76" t="s">
        <v>35</v>
      </c>
      <c r="C7" s="76" t="s">
        <v>1631</v>
      </c>
      <c r="D7" s="77" t="s">
        <v>11</v>
      </c>
      <c r="E7" s="96" t="s">
        <v>84</v>
      </c>
      <c r="F7" s="96" t="s">
        <v>30</v>
      </c>
      <c r="G7" s="96" t="s">
        <v>1632</v>
      </c>
      <c r="H7" s="77" t="s">
        <v>4</v>
      </c>
      <c r="I7" s="77" t="s">
        <v>1</v>
      </c>
      <c r="J7" s="77" t="s">
        <v>0</v>
      </c>
      <c r="K7" s="79" t="s">
        <v>66</v>
      </c>
      <c r="L7" s="78" t="s">
        <v>67</v>
      </c>
      <c r="M7" s="78" t="s">
        <v>17</v>
      </c>
      <c r="N7" s="78" t="s">
        <v>1913</v>
      </c>
      <c r="O7" s="78" t="s">
        <v>1911</v>
      </c>
      <c r="P7" s="76" t="s">
        <v>1912</v>
      </c>
      <c r="Q7" s="219" t="s">
        <v>2028</v>
      </c>
      <c r="R7" s="78" t="s">
        <v>1914</v>
      </c>
      <c r="S7" s="78" t="s">
        <v>8</v>
      </c>
      <c r="T7" s="78" t="s">
        <v>25</v>
      </c>
      <c r="U7" s="78" t="s">
        <v>3</v>
      </c>
      <c r="V7" s="78" t="s">
        <v>10</v>
      </c>
      <c r="W7" s="78" t="s">
        <v>1400</v>
      </c>
      <c r="X7" s="77" t="s">
        <v>9</v>
      </c>
    </row>
    <row r="8" spans="2:24" s="38" customFormat="1" ht="15.75" x14ac:dyDescent="0.25">
      <c r="B8" s="232">
        <v>44198</v>
      </c>
      <c r="C8" s="195" t="str">
        <f>TEXT(VEND[[#This Row],[Fecha de Envío
Cotización]],"mmmm")</f>
        <v>enero</v>
      </c>
      <c r="D8" s="66" t="s">
        <v>1163</v>
      </c>
      <c r="E8" s="190" t="s">
        <v>83</v>
      </c>
      <c r="F8" s="125">
        <v>44350</v>
      </c>
      <c r="G8" s="93" t="str">
        <f>TEXT(VEND[[#This Row],[Fecha Recibe
O.C]],"mmmm")</f>
        <v>junio</v>
      </c>
      <c r="H8" s="55">
        <v>657</v>
      </c>
      <c r="I8" s="55" t="s">
        <v>1241</v>
      </c>
      <c r="J8" s="55"/>
      <c r="K8" s="58">
        <v>1</v>
      </c>
      <c r="L8" s="123">
        <v>17910</v>
      </c>
      <c r="M8" s="55" t="s">
        <v>1858</v>
      </c>
      <c r="N8" s="112"/>
      <c r="O8" s="212">
        <f>IF(VEND[[#This Row],[STATUS]]="O.C",(VEND[[#This Row],[Fecha Recibe
O.C]]+VEND[[#This Row],[Dias
entrega ]]),"")</f>
        <v>44350</v>
      </c>
      <c r="P8" s="212"/>
      <c r="Q8" s="58">
        <f>IFERROR(VEND[[#This Row],[Fecha de Despacho]]-VEND[[#This Row],[Fecha Estimada de Entrega a  Cliente]],"")</f>
        <v>-44350</v>
      </c>
      <c r="R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" s="55" t="str">
        <f>IF(VEND[[#This Row],[STATUS]]="O.C","APROBADO",IF(VEND[[#This Row],[STATUS]]="PERDIDO","PERDIDO",IF(VEND[[#This Row],[STATUS]]="EN ESPERA","EN ESPERA")))</f>
        <v>APROBADO</v>
      </c>
      <c r="T8" s="55" t="str">
        <f>IF(VEND[[#This Row],[STATUS]]="O.C","APROBADO",IF(VEND[[#This Row],[STATUS]]="PERDIDO","PERDIDO",IF(VEND[[#This Row],[STATUS]]="EN ESPERA","EN ESPERA")))</f>
        <v>APROBADO</v>
      </c>
      <c r="U8" s="55" t="s">
        <v>46</v>
      </c>
      <c r="V8" s="55" t="s">
        <v>46</v>
      </c>
      <c r="W8" s="55" t="s">
        <v>1409</v>
      </c>
      <c r="X8" s="55" t="s">
        <v>1903</v>
      </c>
    </row>
    <row r="9" spans="2:24" s="105" customFormat="1" ht="15.75" x14ac:dyDescent="0.25">
      <c r="B9" s="71">
        <v>44203</v>
      </c>
      <c r="C9" s="71" t="str">
        <f>TEXT(VEND[[#This Row],[Fecha de Envío
Cotización]],"mmmm")</f>
        <v>enero</v>
      </c>
      <c r="D9" s="66" t="s">
        <v>1163</v>
      </c>
      <c r="E9" s="125" t="s">
        <v>83</v>
      </c>
      <c r="F9" s="93">
        <v>44265</v>
      </c>
      <c r="G9" s="93" t="str">
        <f>TEXT(VEND[[#This Row],[Fecha Recibe
O.C]],"mmmm")</f>
        <v>marzo</v>
      </c>
      <c r="H9" s="112">
        <v>19773</v>
      </c>
      <c r="I9" s="112" t="s">
        <v>1241</v>
      </c>
      <c r="J9" s="112"/>
      <c r="K9" s="58">
        <v>2</v>
      </c>
      <c r="L9" s="123">
        <v>6935</v>
      </c>
      <c r="M9" s="112" t="s">
        <v>73</v>
      </c>
      <c r="N9" s="112"/>
      <c r="O9" s="212">
        <f>IF(VEND[[#This Row],[STATUS]]="O.C",(VEND[[#This Row],[Fecha Recibe
O.C]]+VEND[[#This Row],[Dias
entrega ]]),"")</f>
        <v>44265</v>
      </c>
      <c r="P9" s="212"/>
      <c r="Q9" s="58">
        <f>IFERROR(VEND[[#This Row],[Fecha de Despacho]]-VEND[[#This Row],[Fecha Estimada de Entrega a  Cliente]],"")</f>
        <v>-44265</v>
      </c>
      <c r="R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" s="112" t="str">
        <f>IF(VEND[[#This Row],[STATUS]]="O.C","APROBADO",IF(VEND[[#This Row],[STATUS]]="PERDIDO","PERDIDO",IF(VEND[[#This Row],[STATUS]]="EN ESPERA","EN ESPERA")))</f>
        <v>APROBADO</v>
      </c>
      <c r="T9" s="112" t="str">
        <f>IF(VEND[[#This Row],[STATUS]]="O.C","APROBADO",IF(VEND[[#This Row],[STATUS]]="PERDIDO","PERDIDO",IF(VEND[[#This Row],[STATUS]]="EN ESPERA","EN ESPERA")))</f>
        <v>APROBADO</v>
      </c>
      <c r="U9" s="112" t="s">
        <v>46</v>
      </c>
      <c r="V9" s="112" t="s">
        <v>46</v>
      </c>
      <c r="W9" s="112" t="s">
        <v>1409</v>
      </c>
      <c r="X9" s="112" t="s">
        <v>2315</v>
      </c>
    </row>
    <row r="10" spans="2:24" s="38" customFormat="1" ht="15.75" x14ac:dyDescent="0.25">
      <c r="B10" s="65">
        <v>44211</v>
      </c>
      <c r="C10" s="71" t="str">
        <f>TEXT(VEND[[#This Row],[Fecha de Envío
Cotización]],"mmmm")</f>
        <v>enero</v>
      </c>
      <c r="D10" s="66" t="s">
        <v>1163</v>
      </c>
      <c r="E10" s="92" t="s">
        <v>83</v>
      </c>
      <c r="F10" s="93">
        <v>44215</v>
      </c>
      <c r="G10" s="93" t="str">
        <f>TEXT(VEND[[#This Row],[Fecha Recibe
O.C]],"mmmm")</f>
        <v>enero</v>
      </c>
      <c r="H10" s="55" t="s">
        <v>1164</v>
      </c>
      <c r="I10" s="55" t="s">
        <v>1241</v>
      </c>
      <c r="J10" s="55"/>
      <c r="K10" s="58">
        <v>1</v>
      </c>
      <c r="L10" s="123">
        <v>1364</v>
      </c>
      <c r="M10" s="55"/>
      <c r="N10" s="112"/>
      <c r="O10" s="212">
        <f>IF(VEND[[#This Row],[STATUS]]="O.C",(VEND[[#This Row],[Fecha Recibe
O.C]]+VEND[[#This Row],[Dias
entrega ]]),"")</f>
        <v>44215</v>
      </c>
      <c r="P10" s="212"/>
      <c r="Q10" s="58">
        <f>IFERROR(VEND[[#This Row],[Fecha de Despacho]]-VEND[[#This Row],[Fecha Estimada de Entrega a  Cliente]],"")</f>
        <v>-44215</v>
      </c>
      <c r="R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" s="55" t="str">
        <f>IF(VEND[[#This Row],[STATUS]]="O.C","APROBADO",IF(VEND[[#This Row],[STATUS]]="PERDIDO","PERDIDO",IF(VEND[[#This Row],[STATUS]]="EN ESPERA","EN ESPERA")))</f>
        <v>APROBADO</v>
      </c>
      <c r="T10" s="55" t="str">
        <f>IF(VEND[[#This Row],[STATUS]]="O.C","APROBADO",IF(VEND[[#This Row],[STATUS]]="PERDIDO","PERDIDO",IF(VEND[[#This Row],[STATUS]]="EN ESPERA","EN ESPERA")))</f>
        <v>APROBADO</v>
      </c>
      <c r="U10" s="55" t="s">
        <v>45</v>
      </c>
      <c r="V10" s="55" t="s">
        <v>47</v>
      </c>
      <c r="W10" s="55" t="s">
        <v>1409</v>
      </c>
      <c r="X10" s="55"/>
    </row>
    <row r="11" spans="2:24" s="38" customFormat="1" ht="15.75" x14ac:dyDescent="0.25">
      <c r="B11" s="65">
        <v>44211</v>
      </c>
      <c r="C11" s="71" t="str">
        <f>TEXT(VEND[[#This Row],[Fecha de Envío
Cotización]],"mmmm")</f>
        <v>enero</v>
      </c>
      <c r="D11" s="66" t="s">
        <v>1163</v>
      </c>
      <c r="E11" s="92" t="s">
        <v>42</v>
      </c>
      <c r="F11" s="92" t="str">
        <f>IF(VEND[[#This Row],[STATUS]]="PERDIDO","N/A","En espera")</f>
        <v>N/A</v>
      </c>
      <c r="G11" s="125" t="str">
        <f>TEXT(VEND[[#This Row],[Fecha Recibe
O.C]],"mmmm")</f>
        <v>N/A</v>
      </c>
      <c r="H11" s="55" t="s">
        <v>1165</v>
      </c>
      <c r="I11" s="55" t="s">
        <v>1241</v>
      </c>
      <c r="J11" s="55"/>
      <c r="K11" s="58">
        <v>1</v>
      </c>
      <c r="L11" s="123">
        <v>3840</v>
      </c>
      <c r="M11" s="55"/>
      <c r="N11" s="112"/>
      <c r="O11" s="212" t="str">
        <f>IF(VEND[[#This Row],[STATUS]]="O.C",(VEND[[#This Row],[Fecha Recibe
O.C]]+VEND[[#This Row],[Dias
entrega ]]),"")</f>
        <v/>
      </c>
      <c r="P11" s="212"/>
      <c r="Q11" s="58" t="str">
        <f>IFERROR(VEND[[#This Row],[Fecha de Despacho]]-VEND[[#This Row],[Fecha Estimada de Entrega a  Cliente]],"")</f>
        <v/>
      </c>
      <c r="R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" s="55" t="str">
        <f>IF(VEND[[#This Row],[STATUS]]="O.C","APROBADO",IF(VEND[[#This Row],[STATUS]]="PERDIDO","PERDIDO",IF(VEND[[#This Row],[STATUS]]="EN ESPERA","EN ESPERA")))</f>
        <v>PERDIDO</v>
      </c>
      <c r="T11" s="55" t="str">
        <f>IF(VEND[[#This Row],[STATUS]]="O.C","APROBADO",IF(VEND[[#This Row],[STATUS]]="PERDIDO","PERDIDO",IF(VEND[[#This Row],[STATUS]]="EN ESPERA","EN ESPERA")))</f>
        <v>PERDIDO</v>
      </c>
      <c r="U11" s="55" t="s">
        <v>23</v>
      </c>
      <c r="V11" s="55" t="s">
        <v>23</v>
      </c>
      <c r="W11" s="55" t="s">
        <v>1409</v>
      </c>
      <c r="X11" s="55"/>
    </row>
    <row r="12" spans="2:24" s="38" customFormat="1" ht="15.75" x14ac:dyDescent="0.25">
      <c r="B12" s="65">
        <v>44214</v>
      </c>
      <c r="C12" s="71" t="str">
        <f>TEXT(VEND[[#This Row],[Fecha de Envío
Cotización]],"mmmm")</f>
        <v>enero</v>
      </c>
      <c r="D12" s="66" t="s">
        <v>1163</v>
      </c>
      <c r="E12" s="92" t="s">
        <v>42</v>
      </c>
      <c r="F12" s="92" t="str">
        <f>IF(VEND[[#This Row],[STATUS]]="PERDIDO","N/A","En espera")</f>
        <v>N/A</v>
      </c>
      <c r="G12" s="125" t="str">
        <f>TEXT(VEND[[#This Row],[Fecha Recibe
O.C]],"mmmm")</f>
        <v>N/A</v>
      </c>
      <c r="H12" s="112" t="s">
        <v>1166</v>
      </c>
      <c r="I12" s="55" t="s">
        <v>1241</v>
      </c>
      <c r="J12" s="55"/>
      <c r="K12" s="58">
        <v>3</v>
      </c>
      <c r="L12" s="123">
        <v>2256.8000000000002</v>
      </c>
      <c r="M12" s="55"/>
      <c r="N12" s="112"/>
      <c r="O12" s="212" t="str">
        <f>IF(VEND[[#This Row],[STATUS]]="O.C",(VEND[[#This Row],[Fecha Recibe
O.C]]+VEND[[#This Row],[Dias
entrega ]]),"")</f>
        <v/>
      </c>
      <c r="P12" s="212"/>
      <c r="Q12" s="58" t="str">
        <f>IFERROR(VEND[[#This Row],[Fecha de Despacho]]-VEND[[#This Row],[Fecha Estimada de Entrega a  Cliente]],"")</f>
        <v/>
      </c>
      <c r="R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" s="55" t="str">
        <f>IF(VEND[[#This Row],[STATUS]]="O.C","APROBADO",IF(VEND[[#This Row],[STATUS]]="PERDIDO","PERDIDO",IF(VEND[[#This Row],[STATUS]]="EN ESPERA","EN ESPERA")))</f>
        <v>PERDIDO</v>
      </c>
      <c r="T12" s="55" t="str">
        <f>IF(VEND[[#This Row],[STATUS]]="O.C","APROBADO",IF(VEND[[#This Row],[STATUS]]="PERDIDO","PERDIDO",IF(VEND[[#This Row],[STATUS]]="EN ESPERA","EN ESPERA")))</f>
        <v>PERDIDO</v>
      </c>
      <c r="U12" s="55" t="s">
        <v>23</v>
      </c>
      <c r="V12" s="55" t="s">
        <v>23</v>
      </c>
      <c r="W12" s="55" t="s">
        <v>1409</v>
      </c>
      <c r="X12" s="55"/>
    </row>
    <row r="13" spans="2:24" s="38" customFormat="1" ht="15.75" x14ac:dyDescent="0.25">
      <c r="B13" s="65">
        <v>44214</v>
      </c>
      <c r="C13" s="71" t="str">
        <f>TEXT(VEND[[#This Row],[Fecha de Envío
Cotización]],"mmmm")</f>
        <v>enero</v>
      </c>
      <c r="D13" s="66" t="s">
        <v>1163</v>
      </c>
      <c r="E13" s="92" t="s">
        <v>42</v>
      </c>
      <c r="F13" s="125" t="str">
        <f>IF(VEND[[#This Row],[STATUS]]="PERDIDO","N/A","En espera")</f>
        <v>N/A</v>
      </c>
      <c r="G13" s="125" t="str">
        <f>TEXT(VEND[[#This Row],[Fecha Recibe
O.C]],"mmmm")</f>
        <v>N/A</v>
      </c>
      <c r="H13" s="112" t="s">
        <v>1167</v>
      </c>
      <c r="I13" s="55" t="s">
        <v>1241</v>
      </c>
      <c r="J13" s="55"/>
      <c r="K13" s="58">
        <v>1</v>
      </c>
      <c r="L13" s="123">
        <v>510</v>
      </c>
      <c r="M13" s="55"/>
      <c r="N13" s="112"/>
      <c r="O13" s="212" t="str">
        <f>IF(VEND[[#This Row],[STATUS]]="O.C",(VEND[[#This Row],[Fecha Recibe
O.C]]+VEND[[#This Row],[Dias
entrega ]]),"")</f>
        <v/>
      </c>
      <c r="P13" s="212"/>
      <c r="Q13" s="58" t="str">
        <f>IFERROR(VEND[[#This Row],[Fecha de Despacho]]-VEND[[#This Row],[Fecha Estimada de Entrega a  Cliente]],"")</f>
        <v/>
      </c>
      <c r="R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" s="55" t="str">
        <f>IF(VEND[[#This Row],[STATUS]]="O.C","APROBADO",IF(VEND[[#This Row],[STATUS]]="PERDIDO","PERDIDO",IF(VEND[[#This Row],[STATUS]]="EN ESPERA","EN ESPERA")))</f>
        <v>PERDIDO</v>
      </c>
      <c r="T13" s="55" t="str">
        <f>IF(VEND[[#This Row],[STATUS]]="O.C","APROBADO",IF(VEND[[#This Row],[STATUS]]="PERDIDO","PERDIDO",IF(VEND[[#This Row],[STATUS]]="EN ESPERA","EN ESPERA")))</f>
        <v>PERDIDO</v>
      </c>
      <c r="U13" s="55" t="s">
        <v>23</v>
      </c>
      <c r="V13" s="55" t="s">
        <v>23</v>
      </c>
      <c r="W13" s="55" t="s">
        <v>1409</v>
      </c>
      <c r="X13" s="55"/>
    </row>
    <row r="14" spans="2:24" s="38" customFormat="1" ht="15.75" x14ac:dyDescent="0.25">
      <c r="B14" s="65">
        <v>44216</v>
      </c>
      <c r="C14" s="71" t="str">
        <f>TEXT(VEND[[#This Row],[Fecha de Envío
Cotización]],"mmmm")</f>
        <v>enero</v>
      </c>
      <c r="D14" s="66" t="s">
        <v>1163</v>
      </c>
      <c r="E14" s="92" t="s">
        <v>83</v>
      </c>
      <c r="F14" s="93">
        <v>44224</v>
      </c>
      <c r="G14" s="93" t="str">
        <f>TEXT(VEND[[#This Row],[Fecha Recibe
O.C]],"mmmm")</f>
        <v>enero</v>
      </c>
      <c r="H14" s="112" t="s">
        <v>1168</v>
      </c>
      <c r="I14" s="55" t="s">
        <v>1241</v>
      </c>
      <c r="J14" s="55"/>
      <c r="K14" s="58">
        <v>1</v>
      </c>
      <c r="L14" s="123">
        <v>1670</v>
      </c>
      <c r="M14" s="55"/>
      <c r="N14" s="112"/>
      <c r="O14" s="212">
        <f>IF(VEND[[#This Row],[STATUS]]="O.C",(VEND[[#This Row],[Fecha Recibe
O.C]]+VEND[[#This Row],[Dias
entrega ]]),"")</f>
        <v>44224</v>
      </c>
      <c r="P14" s="212"/>
      <c r="Q14" s="58">
        <f>IFERROR(VEND[[#This Row],[Fecha de Despacho]]-VEND[[#This Row],[Fecha Estimada de Entrega a  Cliente]],"")</f>
        <v>-44224</v>
      </c>
      <c r="R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" s="55" t="str">
        <f>IF(VEND[[#This Row],[STATUS]]="O.C","APROBADO",IF(VEND[[#This Row],[STATUS]]="PERDIDO","PERDIDO",IF(VEND[[#This Row],[STATUS]]="EN ESPERA","EN ESPERA")))</f>
        <v>APROBADO</v>
      </c>
      <c r="T14" s="55" t="str">
        <f>IF(VEND[[#This Row],[STATUS]]="O.C","APROBADO",IF(VEND[[#This Row],[STATUS]]="PERDIDO","PERDIDO",IF(VEND[[#This Row],[STATUS]]="EN ESPERA","EN ESPERA")))</f>
        <v>APROBADO</v>
      </c>
      <c r="U14" s="55" t="s">
        <v>45</v>
      </c>
      <c r="V14" s="55" t="s">
        <v>47</v>
      </c>
      <c r="W14" s="55" t="s">
        <v>1409</v>
      </c>
      <c r="X14" s="55"/>
    </row>
    <row r="15" spans="2:24" s="38" customFormat="1" ht="15.75" x14ac:dyDescent="0.25">
      <c r="B15" s="65">
        <v>44217</v>
      </c>
      <c r="C15" s="71" t="str">
        <f>TEXT(VEND[[#This Row],[Fecha de Envío
Cotización]],"mmmm")</f>
        <v>enero</v>
      </c>
      <c r="D15" s="66" t="s">
        <v>1163</v>
      </c>
      <c r="E15" s="92" t="s">
        <v>83</v>
      </c>
      <c r="F15" s="92">
        <v>44232</v>
      </c>
      <c r="G15" s="125" t="str">
        <f>TEXT(VEND[[#This Row],[Fecha Recibe
O.C]],"mmmm")</f>
        <v>febrero</v>
      </c>
      <c r="H15" s="112" t="s">
        <v>1169</v>
      </c>
      <c r="I15" s="55" t="s">
        <v>1241</v>
      </c>
      <c r="J15" s="55"/>
      <c r="K15" s="58">
        <v>1</v>
      </c>
      <c r="L15" s="123">
        <v>75</v>
      </c>
      <c r="M15" s="55" t="s">
        <v>15</v>
      </c>
      <c r="N15" s="112">
        <v>14</v>
      </c>
      <c r="O15" s="212">
        <f>IF(VEND[[#This Row],[STATUS]]="O.C",(VEND[[#This Row],[Fecha Recibe
O.C]]+VEND[[#This Row],[Dias
entrega ]]),"")</f>
        <v>44246</v>
      </c>
      <c r="P15" s="212"/>
      <c r="Q15" s="58">
        <f>IFERROR(VEND[[#This Row],[Fecha de Despacho]]-VEND[[#This Row],[Fecha Estimada de Entrega a  Cliente]],"")</f>
        <v>-44246</v>
      </c>
      <c r="R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" s="55" t="str">
        <f>IF(VEND[[#This Row],[STATUS]]="O.C","APROBADO",IF(VEND[[#This Row],[STATUS]]="PERDIDO","PERDIDO",IF(VEND[[#This Row],[STATUS]]="EN ESPERA","EN ESPERA")))</f>
        <v>APROBADO</v>
      </c>
      <c r="T15" s="55" t="str">
        <f>IF(VEND[[#This Row],[STATUS]]="O.C","APROBADO",IF(VEND[[#This Row],[STATUS]]="PERDIDO","PERDIDO",IF(VEND[[#This Row],[STATUS]]="EN ESPERA","EN ESPERA")))</f>
        <v>APROBADO</v>
      </c>
      <c r="U15" s="55" t="s">
        <v>45</v>
      </c>
      <c r="V15" s="55" t="s">
        <v>47</v>
      </c>
      <c r="W15" s="55" t="s">
        <v>1409</v>
      </c>
      <c r="X15" s="55" t="s">
        <v>2312</v>
      </c>
    </row>
    <row r="16" spans="2:24" s="38" customFormat="1" ht="15.75" x14ac:dyDescent="0.25">
      <c r="B16" s="65">
        <v>44217</v>
      </c>
      <c r="C16" s="71" t="str">
        <f>TEXT(VEND[[#This Row],[Fecha de Envío
Cotización]],"mmmm")</f>
        <v>enero</v>
      </c>
      <c r="D16" s="66" t="s">
        <v>1163</v>
      </c>
      <c r="E16" s="92" t="s">
        <v>42</v>
      </c>
      <c r="F16" s="125" t="str">
        <f>IF(VEND[[#This Row],[STATUS]]="PERDIDO","N/A","En espera")</f>
        <v>N/A</v>
      </c>
      <c r="G16" s="125" t="str">
        <f>TEXT(VEND[[#This Row],[Fecha Recibe
O.C]],"mmmm")</f>
        <v>N/A</v>
      </c>
      <c r="H16" s="112" t="s">
        <v>1170</v>
      </c>
      <c r="I16" s="55" t="s">
        <v>1241</v>
      </c>
      <c r="J16" s="55"/>
      <c r="K16" s="58">
        <v>1</v>
      </c>
      <c r="L16" s="123">
        <v>1794</v>
      </c>
      <c r="M16" s="55"/>
      <c r="N16" s="112"/>
      <c r="O16" s="212" t="str">
        <f>IF(VEND[[#This Row],[STATUS]]="O.C",(VEND[[#This Row],[Fecha Recibe
O.C]]+VEND[[#This Row],[Dias
entrega ]]),"")</f>
        <v/>
      </c>
      <c r="P16" s="212"/>
      <c r="Q16" s="58" t="str">
        <f>IFERROR(VEND[[#This Row],[Fecha de Despacho]]-VEND[[#This Row],[Fecha Estimada de Entrega a  Cliente]],"")</f>
        <v/>
      </c>
      <c r="R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" s="55" t="str">
        <f>IF(VEND[[#This Row],[STATUS]]="O.C","APROBADO",IF(VEND[[#This Row],[STATUS]]="PERDIDO","PERDIDO",IF(VEND[[#This Row],[STATUS]]="EN ESPERA","EN ESPERA")))</f>
        <v>PERDIDO</v>
      </c>
      <c r="T16" s="55" t="str">
        <f>IF(VEND[[#This Row],[STATUS]]="O.C","APROBADO",IF(VEND[[#This Row],[STATUS]]="PERDIDO","PERDIDO",IF(VEND[[#This Row],[STATUS]]="EN ESPERA","EN ESPERA")))</f>
        <v>PERDIDO</v>
      </c>
      <c r="U16" s="55" t="s">
        <v>23</v>
      </c>
      <c r="V16" s="55" t="s">
        <v>23</v>
      </c>
      <c r="W16" s="55" t="s">
        <v>1409</v>
      </c>
      <c r="X16" s="55"/>
    </row>
    <row r="17" spans="2:24" s="38" customFormat="1" ht="15.75" x14ac:dyDescent="0.25">
      <c r="B17" s="71">
        <v>44221</v>
      </c>
      <c r="C17" s="71" t="str">
        <f>TEXT(VEND[[#This Row],[Fecha de Envío
Cotización]],"mmmm")</f>
        <v>enero</v>
      </c>
      <c r="D17" s="66" t="s">
        <v>1163</v>
      </c>
      <c r="E17" s="92" t="s">
        <v>83</v>
      </c>
      <c r="F17" s="93">
        <v>44225</v>
      </c>
      <c r="G17" s="93" t="str">
        <f>TEXT(VEND[[#This Row],[Fecha Recibe
O.C]],"mmmm")</f>
        <v>enero</v>
      </c>
      <c r="H17" s="112" t="s">
        <v>1171</v>
      </c>
      <c r="I17" s="112" t="s">
        <v>1241</v>
      </c>
      <c r="J17" s="112"/>
      <c r="K17" s="58">
        <v>1</v>
      </c>
      <c r="L17" s="123">
        <v>7164</v>
      </c>
      <c r="M17" s="112"/>
      <c r="N17" s="112"/>
      <c r="O17" s="212">
        <f>IF(VEND[[#This Row],[STATUS]]="O.C",(VEND[[#This Row],[Fecha Recibe
O.C]]+VEND[[#This Row],[Dias
entrega ]]),"")</f>
        <v>44225</v>
      </c>
      <c r="P17" s="212"/>
      <c r="Q17" s="58">
        <f>IFERROR(VEND[[#This Row],[Fecha de Despacho]]-VEND[[#This Row],[Fecha Estimada de Entrega a  Cliente]],"")</f>
        <v>-44225</v>
      </c>
      <c r="R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" s="112" t="str">
        <f>IF(VEND[[#This Row],[STATUS]]="O.C","APROBADO",IF(VEND[[#This Row],[STATUS]]="PERDIDO","PERDIDO",IF(VEND[[#This Row],[STATUS]]="EN ESPERA","EN ESPERA")))</f>
        <v>APROBADO</v>
      </c>
      <c r="T17" s="112" t="str">
        <f>IF(VEND[[#This Row],[STATUS]]="O.C","APROBADO",IF(VEND[[#This Row],[STATUS]]="PERDIDO","PERDIDO",IF(VEND[[#This Row],[STATUS]]="EN ESPERA","EN ESPERA")))</f>
        <v>APROBADO</v>
      </c>
      <c r="U17" s="55" t="s">
        <v>45</v>
      </c>
      <c r="V17" s="55" t="s">
        <v>47</v>
      </c>
      <c r="W17" s="55" t="s">
        <v>1409</v>
      </c>
      <c r="X17" s="112"/>
    </row>
    <row r="18" spans="2:24" s="105" customFormat="1" ht="15.75" x14ac:dyDescent="0.25">
      <c r="B18" s="71">
        <v>44223</v>
      </c>
      <c r="C18" s="71" t="str">
        <f>TEXT(VEND[[#This Row],[Fecha de Envío
Cotización]],"mmmm")</f>
        <v>enero</v>
      </c>
      <c r="D18" s="66" t="s">
        <v>1163</v>
      </c>
      <c r="E18" s="125" t="s">
        <v>42</v>
      </c>
      <c r="F18" s="125" t="str">
        <f>IF(VEND[[#This Row],[STATUS]]="PERDIDO","N/A","En espera")</f>
        <v>N/A</v>
      </c>
      <c r="G18" s="125" t="str">
        <f>TEXT(VEND[[#This Row],[Fecha Recibe
O.C]],"mmmm")</f>
        <v>N/A</v>
      </c>
      <c r="H18" s="112" t="s">
        <v>1172</v>
      </c>
      <c r="I18" s="112" t="s">
        <v>1241</v>
      </c>
      <c r="J18" s="112"/>
      <c r="K18" s="58">
        <v>4</v>
      </c>
      <c r="L18" s="123">
        <v>54403</v>
      </c>
      <c r="M18" s="112"/>
      <c r="N18" s="112"/>
      <c r="O18" s="212" t="str">
        <f>IF(VEND[[#This Row],[STATUS]]="O.C",(VEND[[#This Row],[Fecha Recibe
O.C]]+VEND[[#This Row],[Dias
entrega ]]),"")</f>
        <v/>
      </c>
      <c r="P18" s="212"/>
      <c r="Q18" s="58" t="str">
        <f>IFERROR(VEND[[#This Row],[Fecha de Despacho]]-VEND[[#This Row],[Fecha Estimada de Entrega a  Cliente]],"")</f>
        <v/>
      </c>
      <c r="R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" s="112" t="str">
        <f>IF(VEND[[#This Row],[STATUS]]="O.C","APROBADO",IF(VEND[[#This Row],[STATUS]]="PERDIDO","PERDIDO",IF(VEND[[#This Row],[STATUS]]="EN ESPERA","EN ESPERA")))</f>
        <v>PERDIDO</v>
      </c>
      <c r="T18" s="112" t="str">
        <f>IF(VEND[[#This Row],[STATUS]]="O.C","APROBADO",IF(VEND[[#This Row],[STATUS]]="PERDIDO","PERDIDO",IF(VEND[[#This Row],[STATUS]]="EN ESPERA","EN ESPERA")))</f>
        <v>PERDIDO</v>
      </c>
      <c r="U18" s="112" t="s">
        <v>23</v>
      </c>
      <c r="V18" s="112" t="s">
        <v>23</v>
      </c>
      <c r="W18" s="112" t="s">
        <v>1409</v>
      </c>
      <c r="X18" s="112"/>
    </row>
    <row r="19" spans="2:24" s="38" customFormat="1" ht="15.75" x14ac:dyDescent="0.25">
      <c r="B19" s="71">
        <v>44224</v>
      </c>
      <c r="C19" s="71" t="str">
        <f>TEXT(VEND[[#This Row],[Fecha de Envío
Cotización]],"mmmm")</f>
        <v>enero</v>
      </c>
      <c r="D19" s="66" t="s">
        <v>1163</v>
      </c>
      <c r="E19" s="92" t="s">
        <v>83</v>
      </c>
      <c r="F19" s="125">
        <v>44232</v>
      </c>
      <c r="G19" s="125" t="str">
        <f>TEXT(VEND[[#This Row],[Fecha Recibe
O.C]],"mmmm")</f>
        <v>febrero</v>
      </c>
      <c r="H19" s="112" t="s">
        <v>2313</v>
      </c>
      <c r="I19" s="112" t="s">
        <v>1241</v>
      </c>
      <c r="J19" s="112"/>
      <c r="K19" s="58">
        <v>1</v>
      </c>
      <c r="L19" s="123">
        <v>2410</v>
      </c>
      <c r="M19" s="112" t="s">
        <v>16</v>
      </c>
      <c r="N19" s="112">
        <v>21</v>
      </c>
      <c r="O19" s="212">
        <f>IF(VEND[[#This Row],[STATUS]]="O.C",(VEND[[#This Row],[Fecha Recibe
O.C]]+VEND[[#This Row],[Dias
entrega ]]),"")</f>
        <v>44253</v>
      </c>
      <c r="P19" s="212"/>
      <c r="Q19" s="58">
        <f>IFERROR(VEND[[#This Row],[Fecha de Despacho]]-VEND[[#This Row],[Fecha Estimada de Entrega a  Cliente]],"")</f>
        <v>-44253</v>
      </c>
      <c r="R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" s="112" t="str">
        <f>IF(VEND[[#This Row],[STATUS]]="O.C","APROBADO",IF(VEND[[#This Row],[STATUS]]="PERDIDO","PERDIDO",IF(VEND[[#This Row],[STATUS]]="EN ESPERA","EN ESPERA")))</f>
        <v>APROBADO</v>
      </c>
      <c r="T19" s="112" t="str">
        <f>IF(VEND[[#This Row],[STATUS]]="O.C","APROBADO",IF(VEND[[#This Row],[STATUS]]="PERDIDO","PERDIDO",IF(VEND[[#This Row],[STATUS]]="EN ESPERA","EN ESPERA")))</f>
        <v>APROBADO</v>
      </c>
      <c r="U19" s="112" t="s">
        <v>45</v>
      </c>
      <c r="V19" s="112" t="s">
        <v>47</v>
      </c>
      <c r="W19" s="55" t="s">
        <v>1409</v>
      </c>
      <c r="X19" s="112" t="s">
        <v>2314</v>
      </c>
    </row>
    <row r="20" spans="2:24" ht="15.75" x14ac:dyDescent="0.25">
      <c r="B20" s="71">
        <v>44229</v>
      </c>
      <c r="C20" s="71" t="str">
        <f>TEXT(VEND[[#This Row],[Fecha de Envío
Cotización]],"mmmm")</f>
        <v>febrero</v>
      </c>
      <c r="D20" s="66" t="s">
        <v>1163</v>
      </c>
      <c r="E20" s="92" t="s">
        <v>83</v>
      </c>
      <c r="F20" s="93">
        <v>44230</v>
      </c>
      <c r="G20" s="93" t="str">
        <f>TEXT(VEND[[#This Row],[Fecha Recibe
O.C]],"mmmm")</f>
        <v>febrero</v>
      </c>
      <c r="H20" s="112">
        <v>19997</v>
      </c>
      <c r="I20" s="112" t="s">
        <v>1242</v>
      </c>
      <c r="J20" s="112"/>
      <c r="K20" s="58">
        <v>1</v>
      </c>
      <c r="L20" s="123">
        <v>124213.65</v>
      </c>
      <c r="M20" s="112"/>
      <c r="N20" s="112"/>
      <c r="O20" s="212">
        <f>IF(VEND[[#This Row],[STATUS]]="O.C",(VEND[[#This Row],[Fecha Recibe
O.C]]+VEND[[#This Row],[Dias
entrega ]]),"")</f>
        <v>44230</v>
      </c>
      <c r="P20" s="212"/>
      <c r="Q20" s="58">
        <f>IFERROR(VEND[[#This Row],[Fecha de Despacho]]-VEND[[#This Row],[Fecha Estimada de Entrega a  Cliente]],"")</f>
        <v>-44230</v>
      </c>
      <c r="R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" s="112" t="str">
        <f>IF(VEND[[#This Row],[STATUS]]="O.C","APROBADO",IF(VEND[[#This Row],[STATUS]]="PERDIDO","PERDIDO",IF(VEND[[#This Row],[STATUS]]="EN ESPERA","EN ESPERA")))</f>
        <v>APROBADO</v>
      </c>
      <c r="T20" s="112" t="str">
        <f>IF(VEND[[#This Row],[STATUS]]="O.C","APROBADO",IF(VEND[[#This Row],[STATUS]]="PERDIDO","PERDIDO",IF(VEND[[#This Row],[STATUS]]="EN ESPERA","EN ESPERA")))</f>
        <v>APROBADO</v>
      </c>
      <c r="U20" s="112" t="s">
        <v>46</v>
      </c>
      <c r="V20" s="112" t="s">
        <v>46</v>
      </c>
      <c r="W20" s="55" t="s">
        <v>1401</v>
      </c>
      <c r="X20" s="112"/>
    </row>
    <row r="21" spans="2:24" ht="15.75" x14ac:dyDescent="0.25">
      <c r="B21" s="71">
        <v>44229</v>
      </c>
      <c r="C21" s="71" t="str">
        <f>TEXT(VEND[[#This Row],[Fecha de Envío
Cotización]],"mmmm")</f>
        <v>febrero</v>
      </c>
      <c r="D21" s="66" t="s">
        <v>1163</v>
      </c>
      <c r="E21" s="92" t="s">
        <v>42</v>
      </c>
      <c r="F21" s="92" t="str">
        <f>IF(VEND[[#This Row],[STATUS]]="PERDIDO","N/A","En espera")</f>
        <v>N/A</v>
      </c>
      <c r="G21" s="125" t="str">
        <f>TEXT(VEND[[#This Row],[Fecha Recibe
O.C]],"mmmm")</f>
        <v>N/A</v>
      </c>
      <c r="H21" s="112" t="s">
        <v>1173</v>
      </c>
      <c r="I21" s="112" t="s">
        <v>1241</v>
      </c>
      <c r="J21" s="112"/>
      <c r="K21" s="58">
        <v>1</v>
      </c>
      <c r="L21" s="123">
        <v>10396.799999999999</v>
      </c>
      <c r="M21" s="112"/>
      <c r="N21" s="112"/>
      <c r="O21" s="212" t="str">
        <f>IF(VEND[[#This Row],[STATUS]]="O.C",(VEND[[#This Row],[Fecha Recibe
O.C]]+VEND[[#This Row],[Dias
entrega ]]),"")</f>
        <v/>
      </c>
      <c r="P21" s="212"/>
      <c r="Q21" s="58" t="str">
        <f>IFERROR(VEND[[#This Row],[Fecha de Despacho]]-VEND[[#This Row],[Fecha Estimada de Entrega a  Cliente]],"")</f>
        <v/>
      </c>
      <c r="R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" s="112" t="str">
        <f>IF(VEND[[#This Row],[STATUS]]="O.C","APROBADO",IF(VEND[[#This Row],[STATUS]]="PERDIDO","PERDIDO",IF(VEND[[#This Row],[STATUS]]="EN ESPERA","EN ESPERA")))</f>
        <v>PERDIDO</v>
      </c>
      <c r="T21" s="112" t="str">
        <f>IF(VEND[[#This Row],[STATUS]]="O.C","APROBADO",IF(VEND[[#This Row],[STATUS]]="PERDIDO","PERDIDO",IF(VEND[[#This Row],[STATUS]]="EN ESPERA","EN ESPERA")))</f>
        <v>PERDIDO</v>
      </c>
      <c r="U21" s="112" t="s">
        <v>23</v>
      </c>
      <c r="V21" s="112" t="s">
        <v>23</v>
      </c>
      <c r="W21" s="55" t="s">
        <v>1409</v>
      </c>
      <c r="X21" s="112"/>
    </row>
    <row r="22" spans="2:24" s="38" customFormat="1" ht="15.75" x14ac:dyDescent="0.25">
      <c r="B22" s="71">
        <v>44236</v>
      </c>
      <c r="C22" s="71" t="str">
        <f>TEXT(VEND[[#This Row],[Fecha de Envío
Cotización]],"mmmm")</f>
        <v>febrero</v>
      </c>
      <c r="D22" s="66" t="s">
        <v>1163</v>
      </c>
      <c r="E22" s="92" t="s">
        <v>42</v>
      </c>
      <c r="F22" s="92" t="str">
        <f>IF(VEND[[#This Row],[STATUS]]="PERDIDO","N/A","En espera")</f>
        <v>N/A</v>
      </c>
      <c r="G22" s="125" t="str">
        <f>TEXT(VEND[[#This Row],[Fecha Recibe
O.C]],"mmmm")</f>
        <v>N/A</v>
      </c>
      <c r="H22" s="112" t="s">
        <v>1174</v>
      </c>
      <c r="I22" s="112" t="s">
        <v>1241</v>
      </c>
      <c r="J22" s="112"/>
      <c r="K22" s="58">
        <v>1</v>
      </c>
      <c r="L22" s="123">
        <v>627.12</v>
      </c>
      <c r="M22" s="112"/>
      <c r="N22" s="112"/>
      <c r="O22" s="212" t="str">
        <f>IF(VEND[[#This Row],[STATUS]]="O.C",(VEND[[#This Row],[Fecha Recibe
O.C]]+VEND[[#This Row],[Dias
entrega ]]),"")</f>
        <v/>
      </c>
      <c r="P22" s="212"/>
      <c r="Q22" s="58" t="str">
        <f>IFERROR(VEND[[#This Row],[Fecha de Despacho]]-VEND[[#This Row],[Fecha Estimada de Entrega a  Cliente]],"")</f>
        <v/>
      </c>
      <c r="R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" s="112" t="str">
        <f>IF(VEND[[#This Row],[STATUS]]="O.C","APROBADO",IF(VEND[[#This Row],[STATUS]]="PERDIDO","PERDIDO",IF(VEND[[#This Row],[STATUS]]="EN ESPERA","EN ESPERA")))</f>
        <v>PERDIDO</v>
      </c>
      <c r="T22" s="112" t="str">
        <f>IF(VEND[[#This Row],[STATUS]]="O.C","APROBADO",IF(VEND[[#This Row],[STATUS]]="PERDIDO","PERDIDO",IF(VEND[[#This Row],[STATUS]]="EN ESPERA","EN ESPERA")))</f>
        <v>PERDIDO</v>
      </c>
      <c r="U22" s="55" t="s">
        <v>23</v>
      </c>
      <c r="V22" s="55" t="s">
        <v>23</v>
      </c>
      <c r="W22" s="55" t="s">
        <v>1409</v>
      </c>
      <c r="X22" s="112"/>
    </row>
    <row r="23" spans="2:24" s="38" customFormat="1" ht="15.75" x14ac:dyDescent="0.25">
      <c r="B23" s="71">
        <v>44237</v>
      </c>
      <c r="C23" s="71" t="str">
        <f>TEXT(VEND[[#This Row],[Fecha de Envío
Cotización]],"mmmm")</f>
        <v>febrero</v>
      </c>
      <c r="D23" s="112" t="s">
        <v>944</v>
      </c>
      <c r="E23" s="92" t="s">
        <v>42</v>
      </c>
      <c r="F23" s="92" t="str">
        <f>IF(VEND[[#This Row],[STATUS]]="PERDIDO","N/A","En espera")</f>
        <v>N/A</v>
      </c>
      <c r="G23" s="125" t="str">
        <f>TEXT(VEND[[#This Row],[Fecha Recibe
O.C]],"mmmm")</f>
        <v>N/A</v>
      </c>
      <c r="H23" s="112">
        <v>20026</v>
      </c>
      <c r="I23" s="112" t="s">
        <v>1020</v>
      </c>
      <c r="J23" s="112"/>
      <c r="K23" s="58">
        <v>2</v>
      </c>
      <c r="L23" s="123">
        <v>489.35</v>
      </c>
      <c r="M23" s="112" t="s">
        <v>15</v>
      </c>
      <c r="N23" s="112">
        <v>14</v>
      </c>
      <c r="O23" s="212" t="str">
        <f>IF(VEND[[#This Row],[STATUS]]="O.C",(VEND[[#This Row],[Fecha Recibe
O.C]]+VEND[[#This Row],[Dias
entrega ]]),"")</f>
        <v/>
      </c>
      <c r="P23" s="212"/>
      <c r="Q23" s="58" t="str">
        <f>IFERROR(VEND[[#This Row],[Fecha de Despacho]]-VEND[[#This Row],[Fecha Estimada de Entrega a  Cliente]],"")</f>
        <v/>
      </c>
      <c r="R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" s="112" t="str">
        <f>IF(VEND[[#This Row],[STATUS]]="O.C","APROBADO",IF(VEND[[#This Row],[STATUS]]="PERDIDO","PERDIDO",IF(VEND[[#This Row],[STATUS]]="EN ESPERA","EN ESPERA")))</f>
        <v>PERDIDO</v>
      </c>
      <c r="T23" s="112" t="str">
        <f>IF(VEND[[#This Row],[STATUS]]="O.C","APROBADO",IF(VEND[[#This Row],[STATUS]]="PERDIDO","PERDIDO",IF(VEND[[#This Row],[STATUS]]="EN ESPERA","EN ESPERA")))</f>
        <v>PERDIDO</v>
      </c>
      <c r="U23" s="55" t="s">
        <v>23</v>
      </c>
      <c r="V23" s="55" t="s">
        <v>23</v>
      </c>
      <c r="W23" s="55" t="s">
        <v>1405</v>
      </c>
      <c r="X23" s="112"/>
    </row>
    <row r="24" spans="2:24" s="38" customFormat="1" ht="15.75" x14ac:dyDescent="0.25">
      <c r="B24" s="71">
        <v>44237</v>
      </c>
      <c r="C24" s="71" t="str">
        <f>TEXT(VEND[[#This Row],[Fecha de Envío
Cotización]],"mmmm")</f>
        <v>febrero</v>
      </c>
      <c r="D24" s="112" t="s">
        <v>944</v>
      </c>
      <c r="E24" s="125" t="s">
        <v>42</v>
      </c>
      <c r="F24" s="125" t="str">
        <f>IF(VEND[[#This Row],[STATUS]]="PERDIDO","N/A","En espera")</f>
        <v>N/A</v>
      </c>
      <c r="G24" s="125" t="str">
        <f>TEXT(VEND[[#This Row],[Fecha Recibe
O.C]],"mmmm")</f>
        <v>N/A</v>
      </c>
      <c r="H24" s="112">
        <v>20030</v>
      </c>
      <c r="I24" s="112" t="s">
        <v>1048</v>
      </c>
      <c r="J24" s="112"/>
      <c r="K24" s="58">
        <v>2</v>
      </c>
      <c r="L24" s="123">
        <v>3541.98</v>
      </c>
      <c r="M24" s="112" t="s">
        <v>77</v>
      </c>
      <c r="N24" s="112">
        <v>7</v>
      </c>
      <c r="O24" s="212" t="str">
        <f>IF(VEND[[#This Row],[STATUS]]="O.C",(VEND[[#This Row],[Fecha Recibe
O.C]]+VEND[[#This Row],[Dias
entrega ]]),"")</f>
        <v/>
      </c>
      <c r="P24" s="212"/>
      <c r="Q24" s="58" t="str">
        <f>IFERROR(VEND[[#This Row],[Fecha de Despacho]]-VEND[[#This Row],[Fecha Estimada de Entrega a  Cliente]],"")</f>
        <v/>
      </c>
      <c r="R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" s="112" t="str">
        <f>IF(VEND[[#This Row],[STATUS]]="O.C","APROBADO",IF(VEND[[#This Row],[STATUS]]="PERDIDO","PERDIDO",IF(VEND[[#This Row],[STATUS]]="EN ESPERA","EN ESPERA")))</f>
        <v>PERDIDO</v>
      </c>
      <c r="T24" s="112" t="str">
        <f>IF(VEND[[#This Row],[STATUS]]="O.C","APROBADO",IF(VEND[[#This Row],[STATUS]]="PERDIDO","PERDIDO",IF(VEND[[#This Row],[STATUS]]="EN ESPERA","EN ESPERA")))</f>
        <v>PERDIDO</v>
      </c>
      <c r="U24" s="112" t="s">
        <v>23</v>
      </c>
      <c r="V24" s="112" t="s">
        <v>23</v>
      </c>
      <c r="W24" s="112" t="s">
        <v>1405</v>
      </c>
      <c r="X24" s="112"/>
    </row>
    <row r="25" spans="2:24" s="38" customFormat="1" ht="15.75" x14ac:dyDescent="0.25">
      <c r="B25" s="71">
        <v>44237</v>
      </c>
      <c r="C25" s="71" t="str">
        <f>TEXT(VEND[[#This Row],[Fecha de Envío
Cotización]],"mmmm")</f>
        <v>febrero</v>
      </c>
      <c r="D25" s="112" t="s">
        <v>68</v>
      </c>
      <c r="E25" s="125" t="s">
        <v>42</v>
      </c>
      <c r="F25" s="125" t="str">
        <f>IF(VEND[[#This Row],[STATUS]]="PERDIDO","N/A","En espera")</f>
        <v>N/A</v>
      </c>
      <c r="G25" s="125" t="str">
        <f>TEXT(VEND[[#This Row],[Fecha Recibe
O.C]],"mmmm")</f>
        <v>N/A</v>
      </c>
      <c r="H25" s="112">
        <v>20557</v>
      </c>
      <c r="I25" s="112" t="s">
        <v>1018</v>
      </c>
      <c r="J25" s="112"/>
      <c r="K25" s="58">
        <v>1</v>
      </c>
      <c r="L25" s="123">
        <v>64.88</v>
      </c>
      <c r="M25" s="112" t="s">
        <v>22</v>
      </c>
      <c r="N25" s="112">
        <v>0</v>
      </c>
      <c r="O25" s="212" t="str">
        <f>IF(VEND[[#This Row],[STATUS]]="O.C",(VEND[[#This Row],[Fecha Recibe
O.C]]+VEND[[#This Row],[Dias
entrega ]]),"")</f>
        <v/>
      </c>
      <c r="P25" s="212"/>
      <c r="Q25" s="58" t="str">
        <f>IFERROR(VEND[[#This Row],[Fecha de Despacho]]-VEND[[#This Row],[Fecha Estimada de Entrega a  Cliente]],"")</f>
        <v/>
      </c>
      <c r="R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" s="55" t="str">
        <f>IF(VEND[[#This Row],[STATUS]]="O.C","APROBADO",IF(VEND[[#This Row],[STATUS]]="PERDIDO","PERDIDO",IF(VEND[[#This Row],[STATUS]]="EN ESPERA","EN ESPERA")))</f>
        <v>PERDIDO</v>
      </c>
      <c r="T25" s="55" t="str">
        <f>IF(VEND[[#This Row],[STATUS]]="O.C","APROBADO",IF(VEND[[#This Row],[STATUS]]="PERDIDO","PERDIDO",IF(VEND[[#This Row],[STATUS]]="EN ESPERA","EN ESPERA")))</f>
        <v>PERDIDO</v>
      </c>
      <c r="U25" s="112" t="s">
        <v>23</v>
      </c>
      <c r="V25" s="112" t="s">
        <v>23</v>
      </c>
      <c r="W25" s="55" t="s">
        <v>1401</v>
      </c>
      <c r="X25" s="112"/>
    </row>
    <row r="26" spans="2:24" s="38" customFormat="1" ht="15.75" x14ac:dyDescent="0.25">
      <c r="B26" s="71">
        <v>44237</v>
      </c>
      <c r="C26" s="71" t="str">
        <f>TEXT(VEND[[#This Row],[Fecha de Envío
Cotización]],"mmmm")</f>
        <v>febrero</v>
      </c>
      <c r="D26" s="112" t="s">
        <v>68</v>
      </c>
      <c r="E26" s="125" t="s">
        <v>42</v>
      </c>
      <c r="F26" s="125" t="str">
        <f>IF(VEND[[#This Row],[STATUS]]="PERDIDO","N/A","En espera")</f>
        <v>N/A</v>
      </c>
      <c r="G26" s="125" t="str">
        <f>TEXT(VEND[[#This Row],[Fecha Recibe
O.C]],"mmmm")</f>
        <v>N/A</v>
      </c>
      <c r="H26" s="112">
        <v>20558</v>
      </c>
      <c r="I26" s="112" t="s">
        <v>1018</v>
      </c>
      <c r="J26" s="112"/>
      <c r="K26" s="58">
        <v>2</v>
      </c>
      <c r="L26" s="123">
        <v>288.88</v>
      </c>
      <c r="M26" s="112" t="s">
        <v>15</v>
      </c>
      <c r="N26" s="112">
        <v>14</v>
      </c>
      <c r="O26" s="212" t="str">
        <f>IF(VEND[[#This Row],[STATUS]]="O.C",(VEND[[#This Row],[Fecha Recibe
O.C]]+VEND[[#This Row],[Dias
entrega ]]),"")</f>
        <v/>
      </c>
      <c r="P26" s="212"/>
      <c r="Q26" s="58" t="str">
        <f>IFERROR(VEND[[#This Row],[Fecha de Despacho]]-VEND[[#This Row],[Fecha Estimada de Entrega a  Cliente]],"")</f>
        <v/>
      </c>
      <c r="R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" s="55" t="str">
        <f>IF(VEND[[#This Row],[STATUS]]="O.C","APROBADO",IF(VEND[[#This Row],[STATUS]]="PERDIDO","PERDIDO",IF(VEND[[#This Row],[STATUS]]="EN ESPERA","EN ESPERA")))</f>
        <v>PERDIDO</v>
      </c>
      <c r="T26" s="55" t="str">
        <f>IF(VEND[[#This Row],[STATUS]]="O.C","APROBADO",IF(VEND[[#This Row],[STATUS]]="PERDIDO","PERDIDO",IF(VEND[[#This Row],[STATUS]]="EN ESPERA","EN ESPERA")))</f>
        <v>PERDIDO</v>
      </c>
      <c r="U26" s="112" t="s">
        <v>23</v>
      </c>
      <c r="V26" s="112" t="s">
        <v>23</v>
      </c>
      <c r="W26" s="55" t="s">
        <v>1401</v>
      </c>
      <c r="X26" s="112"/>
    </row>
    <row r="27" spans="2:24" s="38" customFormat="1" ht="15.75" x14ac:dyDescent="0.25">
      <c r="B27" s="71">
        <v>44237</v>
      </c>
      <c r="C27" s="71" t="str">
        <f>TEXT(VEND[[#This Row],[Fecha de Envío
Cotización]],"mmmm")</f>
        <v>febrero</v>
      </c>
      <c r="D27" s="112" t="s">
        <v>944</v>
      </c>
      <c r="E27" s="92" t="s">
        <v>42</v>
      </c>
      <c r="F27" s="92" t="str">
        <f>IF(VEND[[#This Row],[STATUS]]="PERDIDO","N/A","En espera")</f>
        <v>N/A</v>
      </c>
      <c r="G27" s="125" t="str">
        <f>TEXT(VEND[[#This Row],[Fecha Recibe
O.C]],"mmmm")</f>
        <v>N/A</v>
      </c>
      <c r="H27" s="112">
        <v>200555</v>
      </c>
      <c r="I27" s="55" t="s">
        <v>329</v>
      </c>
      <c r="J27" s="55"/>
      <c r="K27" s="58">
        <v>15</v>
      </c>
      <c r="L27" s="123">
        <v>10195.379999999999</v>
      </c>
      <c r="M27" s="55" t="s">
        <v>36</v>
      </c>
      <c r="N27" s="112">
        <v>28</v>
      </c>
      <c r="O27" s="212" t="str">
        <f>IF(VEND[[#This Row],[STATUS]]="O.C",(VEND[[#This Row],[Fecha Recibe
O.C]]+VEND[[#This Row],[Dias
entrega ]]),"")</f>
        <v/>
      </c>
      <c r="P27" s="212"/>
      <c r="Q27" s="58" t="str">
        <f>IFERROR(VEND[[#This Row],[Fecha de Despacho]]-VEND[[#This Row],[Fecha Estimada de Entrega a  Cliente]],"")</f>
        <v/>
      </c>
      <c r="R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" s="55" t="str">
        <f>IF(VEND[[#This Row],[STATUS]]="O.C","APROBADO",IF(VEND[[#This Row],[STATUS]]="PERDIDO","PERDIDO",IF(VEND[[#This Row],[STATUS]]="EN ESPERA","EN ESPERA")))</f>
        <v>PERDIDO</v>
      </c>
      <c r="T27" s="55" t="str">
        <f>IF(VEND[[#This Row],[STATUS]]="O.C","APROBADO",IF(VEND[[#This Row],[STATUS]]="PERDIDO","PERDIDO",IF(VEND[[#This Row],[STATUS]]="EN ESPERA","EN ESPERA")))</f>
        <v>PERDIDO</v>
      </c>
      <c r="U27" s="55" t="s">
        <v>23</v>
      </c>
      <c r="V27" s="55" t="s">
        <v>23</v>
      </c>
      <c r="W27" s="112" t="s">
        <v>1405</v>
      </c>
      <c r="X27" s="55"/>
    </row>
    <row r="28" spans="2:24" s="38" customFormat="1" ht="15.75" x14ac:dyDescent="0.25">
      <c r="B28" s="71">
        <v>44237</v>
      </c>
      <c r="C28" s="71" t="str">
        <f>TEXT(VEND[[#This Row],[Fecha de Envío
Cotización]],"mmmm")</f>
        <v>febrero</v>
      </c>
      <c r="D28" s="66" t="s">
        <v>1163</v>
      </c>
      <c r="E28" s="92" t="s">
        <v>42</v>
      </c>
      <c r="F28" s="92" t="str">
        <f>IF(VEND[[#This Row],[STATUS]]="PERDIDO","N/A","En espera")</f>
        <v>N/A</v>
      </c>
      <c r="G28" s="125" t="str">
        <f>TEXT(VEND[[#This Row],[Fecha Recibe
O.C]],"mmmm")</f>
        <v>N/A</v>
      </c>
      <c r="H28" s="112" t="s">
        <v>1175</v>
      </c>
      <c r="I28" s="55" t="s">
        <v>1241</v>
      </c>
      <c r="J28" s="55"/>
      <c r="K28" s="58">
        <v>1</v>
      </c>
      <c r="L28" s="123">
        <v>5914.2</v>
      </c>
      <c r="M28" s="55"/>
      <c r="N28" s="112"/>
      <c r="O28" s="212" t="str">
        <f>IF(VEND[[#This Row],[STATUS]]="O.C",(VEND[[#This Row],[Fecha Recibe
O.C]]+VEND[[#This Row],[Dias
entrega ]]),"")</f>
        <v/>
      </c>
      <c r="P28" s="212"/>
      <c r="Q28" s="58" t="str">
        <f>IFERROR(VEND[[#This Row],[Fecha de Despacho]]-VEND[[#This Row],[Fecha Estimada de Entrega a  Cliente]],"")</f>
        <v/>
      </c>
      <c r="R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" s="55" t="str">
        <f>IF(VEND[[#This Row],[STATUS]]="O.C","APROBADO",IF(VEND[[#This Row],[STATUS]]="PERDIDO","PERDIDO",IF(VEND[[#This Row],[STATUS]]="EN ESPERA","EN ESPERA")))</f>
        <v>PERDIDO</v>
      </c>
      <c r="T28" s="55" t="str">
        <f>IF(VEND[[#This Row],[STATUS]]="O.C","APROBADO",IF(VEND[[#This Row],[STATUS]]="PERDIDO","PERDIDO",IF(VEND[[#This Row],[STATUS]]="EN ESPERA","EN ESPERA")))</f>
        <v>PERDIDO</v>
      </c>
      <c r="U28" s="55" t="s">
        <v>23</v>
      </c>
      <c r="V28" s="55" t="s">
        <v>23</v>
      </c>
      <c r="W28" s="112" t="s">
        <v>1409</v>
      </c>
      <c r="X28" s="55"/>
    </row>
    <row r="29" spans="2:24" s="38" customFormat="1" ht="15.75" x14ac:dyDescent="0.25">
      <c r="B29" s="71">
        <v>44237</v>
      </c>
      <c r="C29" s="71" t="str">
        <f>TEXT(VEND[[#This Row],[Fecha de Envío
Cotización]],"mmmm")</f>
        <v>febrero</v>
      </c>
      <c r="D29" s="66" t="s">
        <v>1163</v>
      </c>
      <c r="E29" s="115" t="s">
        <v>42</v>
      </c>
      <c r="F29" s="92" t="str">
        <f>IF(VEND[[#This Row],[STATUS]]="PERDIDO","N/A","En espera")</f>
        <v>N/A</v>
      </c>
      <c r="G29" s="125" t="str">
        <f>TEXT(VEND[[#This Row],[Fecha Recibe
O.C]],"mmmm")</f>
        <v>N/A</v>
      </c>
      <c r="H29" s="112" t="s">
        <v>1176</v>
      </c>
      <c r="I29" s="55" t="s">
        <v>1241</v>
      </c>
      <c r="J29" s="55"/>
      <c r="K29" s="58">
        <v>1</v>
      </c>
      <c r="L29" s="123">
        <v>21026.240000000002</v>
      </c>
      <c r="M29" s="55"/>
      <c r="N29" s="112"/>
      <c r="O29" s="212" t="str">
        <f>IF(VEND[[#This Row],[STATUS]]="O.C",(VEND[[#This Row],[Fecha Recibe
O.C]]+VEND[[#This Row],[Dias
entrega ]]),"")</f>
        <v/>
      </c>
      <c r="P29" s="212"/>
      <c r="Q29" s="58" t="str">
        <f>IFERROR(VEND[[#This Row],[Fecha de Despacho]]-VEND[[#This Row],[Fecha Estimada de Entrega a  Cliente]],"")</f>
        <v/>
      </c>
      <c r="R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" s="55" t="str">
        <f>IF(VEND[[#This Row],[STATUS]]="O.C","APROBADO",IF(VEND[[#This Row],[STATUS]]="PERDIDO","PERDIDO",IF(VEND[[#This Row],[STATUS]]="EN ESPERA","EN ESPERA")))</f>
        <v>PERDIDO</v>
      </c>
      <c r="T29" s="55" t="str">
        <f>IF(VEND[[#This Row],[STATUS]]="O.C","APROBADO",IF(VEND[[#This Row],[STATUS]]="PERDIDO","PERDIDO",IF(VEND[[#This Row],[STATUS]]="EN ESPERA","EN ESPERA")))</f>
        <v>PERDIDO</v>
      </c>
      <c r="U29" s="55" t="s">
        <v>23</v>
      </c>
      <c r="V29" s="55" t="s">
        <v>23</v>
      </c>
      <c r="W29" s="55" t="s">
        <v>1409</v>
      </c>
      <c r="X29" s="55"/>
    </row>
    <row r="30" spans="2:24" s="38" customFormat="1" ht="15.75" x14ac:dyDescent="0.25">
      <c r="B30" s="232">
        <v>44238</v>
      </c>
      <c r="C30" s="71" t="str">
        <f>TEXT(VEND[[#This Row],[Fecha de Envío
Cotización]],"mmmm")</f>
        <v>febrero</v>
      </c>
      <c r="D30" s="112" t="s">
        <v>1163</v>
      </c>
      <c r="E30" s="115" t="s">
        <v>83</v>
      </c>
      <c r="F30" s="125">
        <v>44280</v>
      </c>
      <c r="G30" s="125" t="str">
        <f>TEXT(VEND[[#This Row],[Fecha Recibe
O.C]],"mmmm")</f>
        <v>marzo</v>
      </c>
      <c r="H30" s="112">
        <v>501</v>
      </c>
      <c r="I30" s="55" t="s">
        <v>1241</v>
      </c>
      <c r="J30" s="55"/>
      <c r="K30" s="58">
        <v>1</v>
      </c>
      <c r="L30" s="123">
        <v>37900</v>
      </c>
      <c r="M30" s="55"/>
      <c r="N30" s="112"/>
      <c r="O30" s="212">
        <f>IF(VEND[[#This Row],[STATUS]]="O.C",(VEND[[#This Row],[Fecha Recibe
O.C]]+VEND[[#This Row],[Dias
entrega ]]),"")</f>
        <v>44280</v>
      </c>
      <c r="P30" s="212"/>
      <c r="Q30" s="58">
        <f>IFERROR(VEND[[#This Row],[Fecha de Despacho]]-VEND[[#This Row],[Fecha Estimada de Entrega a  Cliente]],"")</f>
        <v>-44280</v>
      </c>
      <c r="R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" s="55" t="str">
        <f>IF(VEND[[#This Row],[STATUS]]="O.C","APROBADO",IF(VEND[[#This Row],[STATUS]]="PERDIDO","PERDIDO",IF(VEND[[#This Row],[STATUS]]="EN ESPERA","EN ESPERA")))</f>
        <v>APROBADO</v>
      </c>
      <c r="T30" s="55" t="str">
        <f>IF(VEND[[#This Row],[STATUS]]="O.C","APROBADO",IF(VEND[[#This Row],[STATUS]]="PERDIDO","PERDIDO",IF(VEND[[#This Row],[STATUS]]="EN ESPERA","EN ESPERA")))</f>
        <v>APROBADO</v>
      </c>
      <c r="U30" s="55" t="s">
        <v>46</v>
      </c>
      <c r="V30" s="55" t="s">
        <v>46</v>
      </c>
      <c r="W30" s="55" t="s">
        <v>1409</v>
      </c>
      <c r="X30" s="55" t="s">
        <v>2419</v>
      </c>
    </row>
    <row r="31" spans="2:24" s="38" customFormat="1" ht="15.75" x14ac:dyDescent="0.25">
      <c r="B31" s="65">
        <v>44238</v>
      </c>
      <c r="C31" s="71" t="str">
        <f>TEXT(VEND[[#This Row],[Fecha de Envío
Cotización]],"mmmm")</f>
        <v>febrero</v>
      </c>
      <c r="D31" s="112" t="s">
        <v>68</v>
      </c>
      <c r="E31" s="115" t="s">
        <v>42</v>
      </c>
      <c r="F31" s="125" t="str">
        <f>IF(VEND[[#This Row],[STATUS]]="PERDIDO","N/A","En espera")</f>
        <v>N/A</v>
      </c>
      <c r="G31" s="125" t="str">
        <f>TEXT(VEND[[#This Row],[Fecha Recibe
O.C]],"mmmm")</f>
        <v>N/A</v>
      </c>
      <c r="H31" s="112">
        <v>20086</v>
      </c>
      <c r="I31" s="55" t="s">
        <v>1027</v>
      </c>
      <c r="J31" s="55"/>
      <c r="K31" s="58">
        <v>2</v>
      </c>
      <c r="L31" s="123">
        <v>1165.81</v>
      </c>
      <c r="M31" s="55" t="s">
        <v>22</v>
      </c>
      <c r="N31" s="112">
        <v>0</v>
      </c>
      <c r="O31" s="212" t="str">
        <f>IF(VEND[[#This Row],[STATUS]]="O.C",(VEND[[#This Row],[Fecha Recibe
O.C]]+VEND[[#This Row],[Dias
entrega ]]),"")</f>
        <v/>
      </c>
      <c r="P31" s="212"/>
      <c r="Q31" s="58" t="str">
        <f>IFERROR(VEND[[#This Row],[Fecha de Despacho]]-VEND[[#This Row],[Fecha Estimada de Entrega a  Cliente]],"")</f>
        <v/>
      </c>
      <c r="R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" s="55" t="str">
        <f>IF(VEND[[#This Row],[STATUS]]="O.C","APROBADO",IF(VEND[[#This Row],[STATUS]]="PERDIDO","PERDIDO",IF(VEND[[#This Row],[STATUS]]="EN ESPERA","EN ESPERA")))</f>
        <v>PERDIDO</v>
      </c>
      <c r="T31" s="55" t="str">
        <f>IF(VEND[[#This Row],[STATUS]]="O.C","APROBADO",IF(VEND[[#This Row],[STATUS]]="PERDIDO","PERDIDO",IF(VEND[[#This Row],[STATUS]]="EN ESPERA","EN ESPERA")))</f>
        <v>PERDIDO</v>
      </c>
      <c r="U31" s="55" t="s">
        <v>23</v>
      </c>
      <c r="V31" s="55" t="s">
        <v>23</v>
      </c>
      <c r="W31" s="55" t="s">
        <v>1402</v>
      </c>
      <c r="X31" s="55"/>
    </row>
    <row r="32" spans="2:24" s="38" customFormat="1" ht="15.75" x14ac:dyDescent="0.25">
      <c r="B32" s="71">
        <v>44238</v>
      </c>
      <c r="C32" s="71" t="str">
        <f>TEXT(VEND[[#This Row],[Fecha de Envío
Cotización]],"mmmm")</f>
        <v>febrero</v>
      </c>
      <c r="D32" s="66" t="s">
        <v>1163</v>
      </c>
      <c r="E32" s="115" t="s">
        <v>42</v>
      </c>
      <c r="F32" s="125" t="str">
        <f>IF(VEND[[#This Row],[STATUS]]="PERDIDO","N/A","En espera")</f>
        <v>N/A</v>
      </c>
      <c r="G32" s="125" t="str">
        <f>TEXT(VEND[[#This Row],[Fecha Recibe
O.C]],"mmmm")</f>
        <v>N/A</v>
      </c>
      <c r="H32" s="112" t="s">
        <v>1177</v>
      </c>
      <c r="I32" s="55" t="s">
        <v>1241</v>
      </c>
      <c r="J32" s="55"/>
      <c r="K32" s="58">
        <v>1</v>
      </c>
      <c r="L32" s="123">
        <v>236</v>
      </c>
      <c r="M32" s="55"/>
      <c r="N32" s="112"/>
      <c r="O32" s="212" t="str">
        <f>IF(VEND[[#This Row],[STATUS]]="O.C",(VEND[[#This Row],[Fecha Recibe
O.C]]+VEND[[#This Row],[Dias
entrega ]]),"")</f>
        <v/>
      </c>
      <c r="P32" s="212"/>
      <c r="Q32" s="58" t="str">
        <f>IFERROR(VEND[[#This Row],[Fecha de Despacho]]-VEND[[#This Row],[Fecha Estimada de Entrega a  Cliente]],"")</f>
        <v/>
      </c>
      <c r="R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" s="55" t="str">
        <f>IF(VEND[[#This Row],[STATUS]]="O.C","APROBADO",IF(VEND[[#This Row],[STATUS]]="PERDIDO","PERDIDO",IF(VEND[[#This Row],[STATUS]]="EN ESPERA","EN ESPERA")))</f>
        <v>PERDIDO</v>
      </c>
      <c r="T32" s="55" t="str">
        <f>IF(VEND[[#This Row],[STATUS]]="O.C","APROBADO",IF(VEND[[#This Row],[STATUS]]="PERDIDO","PERDIDO",IF(VEND[[#This Row],[STATUS]]="EN ESPERA","EN ESPERA")))</f>
        <v>PERDIDO</v>
      </c>
      <c r="U32" s="55" t="s">
        <v>23</v>
      </c>
      <c r="V32" s="55" t="s">
        <v>23</v>
      </c>
      <c r="W32" s="55" t="s">
        <v>1409</v>
      </c>
      <c r="X32" s="55"/>
    </row>
    <row r="33" spans="2:24" s="105" customFormat="1" ht="15.75" x14ac:dyDescent="0.25">
      <c r="B33" s="232">
        <v>44238</v>
      </c>
      <c r="C33" s="71" t="str">
        <f>TEXT(VEND[[#This Row],[Fecha de Envío
Cotización]],"mmmm")</f>
        <v>febrero</v>
      </c>
      <c r="D33" s="66" t="s">
        <v>1163</v>
      </c>
      <c r="E33" s="125" t="s">
        <v>83</v>
      </c>
      <c r="F33" s="93">
        <v>44280</v>
      </c>
      <c r="G33" s="93" t="str">
        <f>TEXT(VEND[[#This Row],[Fecha Recibe
O.C]],"mmmm")</f>
        <v>marzo</v>
      </c>
      <c r="H33" s="112" t="s">
        <v>1178</v>
      </c>
      <c r="I33" s="112" t="s">
        <v>1241</v>
      </c>
      <c r="J33" s="112"/>
      <c r="K33" s="58">
        <v>1</v>
      </c>
      <c r="L33" s="123">
        <v>7780</v>
      </c>
      <c r="M33" s="112"/>
      <c r="N33" s="112"/>
      <c r="O33" s="212">
        <f>IF(VEND[[#This Row],[STATUS]]="O.C",(VEND[[#This Row],[Fecha Recibe
O.C]]+VEND[[#This Row],[Dias
entrega ]]),"")</f>
        <v>44280</v>
      </c>
      <c r="P33" s="212"/>
      <c r="Q33" s="58">
        <f>IFERROR(VEND[[#This Row],[Fecha de Despacho]]-VEND[[#This Row],[Fecha Estimada de Entrega a  Cliente]],"")</f>
        <v>-44280</v>
      </c>
      <c r="R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" s="112" t="str">
        <f>IF(VEND[[#This Row],[STATUS]]="O.C","APROBADO",IF(VEND[[#This Row],[STATUS]]="PERDIDO","PERDIDO",IF(VEND[[#This Row],[STATUS]]="EN ESPERA","EN ESPERA")))</f>
        <v>APROBADO</v>
      </c>
      <c r="T33" s="112" t="str">
        <f>IF(VEND[[#This Row],[STATUS]]="O.C","APROBADO",IF(VEND[[#This Row],[STATUS]]="PERDIDO","PERDIDO",IF(VEND[[#This Row],[STATUS]]="EN ESPERA","EN ESPERA")))</f>
        <v>APROBADO</v>
      </c>
      <c r="U33" s="112" t="s">
        <v>45</v>
      </c>
      <c r="V33" s="112" t="s">
        <v>47</v>
      </c>
      <c r="W33" s="112" t="s">
        <v>1409</v>
      </c>
      <c r="X33" s="112" t="s">
        <v>2171</v>
      </c>
    </row>
    <row r="34" spans="2:24" s="105" customFormat="1" ht="15.75" x14ac:dyDescent="0.25">
      <c r="B34" s="232">
        <v>44239</v>
      </c>
      <c r="C34" s="71" t="str">
        <f>TEXT(VEND[[#This Row],[Fecha de Envío
Cotización]],"mmmm")</f>
        <v>febrero</v>
      </c>
      <c r="D34" s="112" t="s">
        <v>1163</v>
      </c>
      <c r="E34" s="125" t="s">
        <v>83</v>
      </c>
      <c r="F34" s="125">
        <v>44280</v>
      </c>
      <c r="G34" s="125" t="str">
        <f>TEXT(VEND[[#This Row],[Fecha Recibe
O.C]],"mmmm")</f>
        <v>marzo</v>
      </c>
      <c r="H34" s="112">
        <v>500</v>
      </c>
      <c r="I34" s="112" t="s">
        <v>1241</v>
      </c>
      <c r="J34" s="112"/>
      <c r="K34" s="58">
        <v>1</v>
      </c>
      <c r="L34" s="123">
        <v>7780</v>
      </c>
      <c r="M34" s="112"/>
      <c r="N34" s="112"/>
      <c r="O34" s="212">
        <f>IF(VEND[[#This Row],[STATUS]]="O.C",(VEND[[#This Row],[Fecha Recibe
O.C]]+VEND[[#This Row],[Dias
entrega ]]),"")</f>
        <v>44280</v>
      </c>
      <c r="P34" s="212"/>
      <c r="Q34" s="58">
        <f>IFERROR(VEND[[#This Row],[Fecha de Despacho]]-VEND[[#This Row],[Fecha Estimada de Entrega a  Cliente]],"")</f>
        <v>-44280</v>
      </c>
      <c r="R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" s="112" t="str">
        <f>IF(VEND[[#This Row],[STATUS]]="O.C","APROBADO",IF(VEND[[#This Row],[STATUS]]="PERDIDO","PERDIDO",IF(VEND[[#This Row],[STATUS]]="EN ESPERA","EN ESPERA")))</f>
        <v>APROBADO</v>
      </c>
      <c r="T34" s="112" t="str">
        <f>IF(VEND[[#This Row],[STATUS]]="O.C","APROBADO",IF(VEND[[#This Row],[STATUS]]="PERDIDO","PERDIDO",IF(VEND[[#This Row],[STATUS]]="EN ESPERA","EN ESPERA")))</f>
        <v>APROBADO</v>
      </c>
      <c r="U34" s="112" t="s">
        <v>46</v>
      </c>
      <c r="V34" s="112" t="s">
        <v>46</v>
      </c>
      <c r="W34" s="112" t="s">
        <v>1409</v>
      </c>
      <c r="X34" s="112" t="s">
        <v>2172</v>
      </c>
    </row>
    <row r="35" spans="2:24" s="38" customFormat="1" ht="15.75" x14ac:dyDescent="0.25">
      <c r="B35" s="65">
        <v>44239</v>
      </c>
      <c r="C35" s="71" t="str">
        <f>TEXT(VEND[[#This Row],[Fecha de Envío
Cotización]],"mmmm")</f>
        <v>febrero</v>
      </c>
      <c r="D35" s="112" t="s">
        <v>944</v>
      </c>
      <c r="E35" s="115" t="s">
        <v>42</v>
      </c>
      <c r="F35" s="92" t="str">
        <f>IF(VEND[[#This Row],[STATUS]]="PERDIDO","N/A","En espera")</f>
        <v>N/A</v>
      </c>
      <c r="G35" s="125" t="str">
        <f>TEXT(VEND[[#This Row],[Fecha Recibe
O.C]],"mmmm")</f>
        <v>N/A</v>
      </c>
      <c r="H35" s="112">
        <v>20085</v>
      </c>
      <c r="I35" s="55" t="s">
        <v>329</v>
      </c>
      <c r="J35" s="55"/>
      <c r="K35" s="58">
        <v>2</v>
      </c>
      <c r="L35" s="123">
        <v>1730</v>
      </c>
      <c r="M35" s="55" t="s">
        <v>22</v>
      </c>
      <c r="N35" s="112">
        <v>0</v>
      </c>
      <c r="O35" s="212" t="str">
        <f>IF(VEND[[#This Row],[STATUS]]="O.C",(VEND[[#This Row],[Fecha Recibe
O.C]]+VEND[[#This Row],[Dias
entrega ]]),"")</f>
        <v/>
      </c>
      <c r="P35" s="212"/>
      <c r="Q35" s="58" t="str">
        <f>IFERROR(VEND[[#This Row],[Fecha de Despacho]]-VEND[[#This Row],[Fecha Estimada de Entrega a  Cliente]],"")</f>
        <v/>
      </c>
      <c r="R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" s="55" t="str">
        <f>IF(VEND[[#This Row],[STATUS]]="O.C","APROBADO",IF(VEND[[#This Row],[STATUS]]="PERDIDO","PERDIDO",IF(VEND[[#This Row],[STATUS]]="EN ESPERA","EN ESPERA")))</f>
        <v>PERDIDO</v>
      </c>
      <c r="T35" s="55" t="str">
        <f>IF(VEND[[#This Row],[STATUS]]="O.C","APROBADO",IF(VEND[[#This Row],[STATUS]]="PERDIDO","PERDIDO",IF(VEND[[#This Row],[STATUS]]="EN ESPERA","EN ESPERA")))</f>
        <v>PERDIDO</v>
      </c>
      <c r="U35" s="55" t="s">
        <v>23</v>
      </c>
      <c r="V35" s="55" t="s">
        <v>23</v>
      </c>
      <c r="W35" s="55" t="s">
        <v>1405</v>
      </c>
      <c r="X35" s="55"/>
    </row>
    <row r="36" spans="2:24" s="38" customFormat="1" ht="15.75" x14ac:dyDescent="0.25">
      <c r="B36" s="71">
        <v>44239</v>
      </c>
      <c r="C36" s="71" t="str">
        <f>TEXT(VEND[[#This Row],[Fecha de Envío
Cotización]],"mmmm")</f>
        <v>febrero</v>
      </c>
      <c r="D36" s="66" t="s">
        <v>1163</v>
      </c>
      <c r="E36" s="115" t="s">
        <v>42</v>
      </c>
      <c r="F36" s="92" t="str">
        <f>IF(VEND[[#This Row],[STATUS]]="PERDIDO","N/A","En espera")</f>
        <v>N/A</v>
      </c>
      <c r="G36" s="125" t="str">
        <f>TEXT(VEND[[#This Row],[Fecha Recibe
O.C]],"mmmm")</f>
        <v>N/A</v>
      </c>
      <c r="H36" s="112" t="s">
        <v>1179</v>
      </c>
      <c r="I36" s="112" t="s">
        <v>1241</v>
      </c>
      <c r="J36" s="55"/>
      <c r="K36" s="58">
        <v>1</v>
      </c>
      <c r="L36" s="123">
        <v>727.64</v>
      </c>
      <c r="M36" s="55"/>
      <c r="N36" s="112"/>
      <c r="O36" s="212" t="str">
        <f>IF(VEND[[#This Row],[STATUS]]="O.C",(VEND[[#This Row],[Fecha Recibe
O.C]]+VEND[[#This Row],[Dias
entrega ]]),"")</f>
        <v/>
      </c>
      <c r="P36" s="212"/>
      <c r="Q36" s="58" t="str">
        <f>IFERROR(VEND[[#This Row],[Fecha de Despacho]]-VEND[[#This Row],[Fecha Estimada de Entrega a  Cliente]],"")</f>
        <v/>
      </c>
      <c r="R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" s="55" t="str">
        <f>IF(VEND[[#This Row],[STATUS]]="O.C","APROBADO",IF(VEND[[#This Row],[STATUS]]="PERDIDO","PERDIDO",IF(VEND[[#This Row],[STATUS]]="EN ESPERA","EN ESPERA")))</f>
        <v>PERDIDO</v>
      </c>
      <c r="T36" s="55" t="str">
        <f>IF(VEND[[#This Row],[STATUS]]="O.C","APROBADO",IF(VEND[[#This Row],[STATUS]]="PERDIDO","PERDIDO",IF(VEND[[#This Row],[STATUS]]="EN ESPERA","EN ESPERA")))</f>
        <v>PERDIDO</v>
      </c>
      <c r="U36" s="112" t="s">
        <v>23</v>
      </c>
      <c r="V36" s="112" t="s">
        <v>23</v>
      </c>
      <c r="W36" s="112" t="s">
        <v>1409</v>
      </c>
      <c r="X36" s="55"/>
    </row>
    <row r="37" spans="2:24" s="38" customFormat="1" ht="15.75" x14ac:dyDescent="0.25">
      <c r="B37" s="47">
        <v>44244</v>
      </c>
      <c r="C37" s="47" t="str">
        <f>TEXT(VEND[[#This Row],[Fecha de Envío
Cotización]],"mmmm")</f>
        <v>febrero</v>
      </c>
      <c r="D37" s="112" t="s">
        <v>945</v>
      </c>
      <c r="E37" s="115" t="s">
        <v>42</v>
      </c>
      <c r="F37" s="92" t="str">
        <f>IF(VEND[[#This Row],[STATUS]]="PERDIDO","N/A","En espera")</f>
        <v>N/A</v>
      </c>
      <c r="G37" s="125" t="str">
        <f>TEXT(VEND[[#This Row],[Fecha Recibe
O.C]],"mmmm")</f>
        <v>N/A</v>
      </c>
      <c r="H37" s="112">
        <v>20069</v>
      </c>
      <c r="I37" s="55" t="s">
        <v>424</v>
      </c>
      <c r="J37" s="55"/>
      <c r="K37" s="58">
        <v>1</v>
      </c>
      <c r="L37" s="123">
        <v>3087.5</v>
      </c>
      <c r="M37" s="55" t="s">
        <v>22</v>
      </c>
      <c r="N37" s="112">
        <v>0</v>
      </c>
      <c r="O37" s="212" t="str">
        <f>IF(VEND[[#This Row],[STATUS]]="O.C",(VEND[[#This Row],[Fecha Recibe
O.C]]+VEND[[#This Row],[Dias
entrega ]]),"")</f>
        <v/>
      </c>
      <c r="P37" s="47"/>
      <c r="Q37" s="220" t="str">
        <f>IFERROR(VEND[[#This Row],[Fecha de Despacho]]-VEND[[#This Row],[Fecha Estimada de Entrega a  Cliente]],"")</f>
        <v/>
      </c>
      <c r="R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" s="55" t="str">
        <f>IF(VEND[[#This Row],[STATUS]]="O.C","APROBADO",IF(VEND[[#This Row],[STATUS]]="PERDIDO","PERDIDO",IF(VEND[[#This Row],[STATUS]]="EN ESPERA","EN ESPERA")))</f>
        <v>PERDIDO</v>
      </c>
      <c r="T37" s="55" t="str">
        <f>IF(VEND[[#This Row],[STATUS]]="O.C","APROBADO",IF(VEND[[#This Row],[STATUS]]="PERDIDO","PERDIDO",IF(VEND[[#This Row],[STATUS]]="EN ESPERA","EN ESPERA")))</f>
        <v>PERDIDO</v>
      </c>
      <c r="U37" s="59" t="s">
        <v>23</v>
      </c>
      <c r="V37" s="59" t="s">
        <v>23</v>
      </c>
      <c r="W37" s="59" t="s">
        <v>1402</v>
      </c>
      <c r="X37" s="55"/>
    </row>
    <row r="38" spans="2:24" s="38" customFormat="1" ht="15.75" x14ac:dyDescent="0.25">
      <c r="B38" s="71">
        <v>44244</v>
      </c>
      <c r="C38" s="71" t="str">
        <f>TEXT(VEND[[#This Row],[Fecha de Envío
Cotización]],"mmmm")</f>
        <v>febrero</v>
      </c>
      <c r="D38" s="112" t="s">
        <v>944</v>
      </c>
      <c r="E38" s="115" t="s">
        <v>42</v>
      </c>
      <c r="F38" s="125" t="str">
        <f>IF(VEND[[#This Row],[STATUS]]="PERDIDO","N/A","En espera")</f>
        <v>N/A</v>
      </c>
      <c r="G38" s="125" t="str">
        <f>TEXT(VEND[[#This Row],[Fecha Recibe
O.C]],"mmmm")</f>
        <v>N/A</v>
      </c>
      <c r="H38" s="112">
        <v>22185</v>
      </c>
      <c r="I38" s="55" t="s">
        <v>76</v>
      </c>
      <c r="J38" s="112"/>
      <c r="K38" s="58">
        <v>1</v>
      </c>
      <c r="L38" s="123">
        <v>290.66000000000003</v>
      </c>
      <c r="M38" s="55" t="s">
        <v>15</v>
      </c>
      <c r="N38" s="112">
        <v>14</v>
      </c>
      <c r="O38" s="212" t="str">
        <f>IF(VEND[[#This Row],[STATUS]]="O.C",(VEND[[#This Row],[Fecha Recibe
O.C]]+VEND[[#This Row],[Dias
entrega ]]),"")</f>
        <v/>
      </c>
      <c r="P38" s="212"/>
      <c r="Q38" s="58" t="str">
        <f>IFERROR(VEND[[#This Row],[Fecha de Despacho]]-VEND[[#This Row],[Fecha Estimada de Entrega a  Cliente]],"")</f>
        <v/>
      </c>
      <c r="R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" s="112" t="str">
        <f>IF(VEND[[#This Row],[STATUS]]="O.C","APROBADO",IF(VEND[[#This Row],[STATUS]]="PERDIDO","PERDIDO",IF(VEND[[#This Row],[STATUS]]="EN ESPERA","EN ESPERA")))</f>
        <v>PERDIDO</v>
      </c>
      <c r="T38" s="112" t="str">
        <f>IF(VEND[[#This Row],[STATUS]]="O.C","APROBADO",IF(VEND[[#This Row],[STATUS]]="PERDIDO","PERDIDO",IF(VEND[[#This Row],[STATUS]]="EN ESPERA","EN ESPERA")))</f>
        <v>PERDIDO</v>
      </c>
      <c r="U38" s="55" t="s">
        <v>23</v>
      </c>
      <c r="V38" s="55" t="s">
        <v>23</v>
      </c>
      <c r="W38" s="55" t="s">
        <v>1409</v>
      </c>
      <c r="X38" s="112"/>
    </row>
    <row r="39" spans="2:24" s="38" customFormat="1" ht="15.75" x14ac:dyDescent="0.25">
      <c r="B39" s="71">
        <v>44244</v>
      </c>
      <c r="C39" s="71" t="str">
        <f>TEXT(VEND[[#This Row],[Fecha de Envío
Cotización]],"mmmm")</f>
        <v>febrero</v>
      </c>
      <c r="D39" s="66" t="s">
        <v>1163</v>
      </c>
      <c r="E39" s="115" t="s">
        <v>42</v>
      </c>
      <c r="F39" s="125" t="str">
        <f>IF(VEND[[#This Row],[STATUS]]="PERDIDO","N/A","En espera")</f>
        <v>N/A</v>
      </c>
      <c r="G39" s="125" t="str">
        <f>TEXT(VEND[[#This Row],[Fecha Recibe
O.C]],"mmmm")</f>
        <v>N/A</v>
      </c>
      <c r="H39" s="112" t="s">
        <v>1180</v>
      </c>
      <c r="I39" s="55" t="s">
        <v>1241</v>
      </c>
      <c r="J39" s="112"/>
      <c r="K39" s="58">
        <v>1</v>
      </c>
      <c r="L39" s="123">
        <v>51999</v>
      </c>
      <c r="M39" s="112"/>
      <c r="N39" s="112"/>
      <c r="O39" s="212" t="str">
        <f>IF(VEND[[#This Row],[STATUS]]="O.C",(VEND[[#This Row],[Fecha Recibe
O.C]]+VEND[[#This Row],[Dias
entrega ]]),"")</f>
        <v/>
      </c>
      <c r="P39" s="212"/>
      <c r="Q39" s="58" t="str">
        <f>IFERROR(VEND[[#This Row],[Fecha de Despacho]]-VEND[[#This Row],[Fecha Estimada de Entrega a  Cliente]],"")</f>
        <v/>
      </c>
      <c r="R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" s="112" t="str">
        <f>IF(VEND[[#This Row],[STATUS]]="O.C","APROBADO",IF(VEND[[#This Row],[STATUS]]="PERDIDO","PERDIDO",IF(VEND[[#This Row],[STATUS]]="EN ESPERA","EN ESPERA")))</f>
        <v>PERDIDO</v>
      </c>
      <c r="T39" s="112" t="str">
        <f>IF(VEND[[#This Row],[STATUS]]="O.C","APROBADO",IF(VEND[[#This Row],[STATUS]]="PERDIDO","PERDIDO",IF(VEND[[#This Row],[STATUS]]="EN ESPERA","EN ESPERA")))</f>
        <v>PERDIDO</v>
      </c>
      <c r="U39" s="55" t="s">
        <v>23</v>
      </c>
      <c r="V39" s="55" t="s">
        <v>23</v>
      </c>
      <c r="W39" s="55" t="s">
        <v>1409</v>
      </c>
      <c r="X39" s="112"/>
    </row>
    <row r="40" spans="2:24" s="38" customFormat="1" ht="15.75" x14ac:dyDescent="0.25">
      <c r="B40" s="71">
        <v>44244</v>
      </c>
      <c r="C40" s="71" t="str">
        <f>TEXT(VEND[[#This Row],[Fecha de Envío
Cotización]],"mmmm")</f>
        <v>febrero</v>
      </c>
      <c r="D40" s="66" t="s">
        <v>1163</v>
      </c>
      <c r="E40" s="115" t="s">
        <v>42</v>
      </c>
      <c r="F40" s="125" t="str">
        <f>IF(VEND[[#This Row],[STATUS]]="PERDIDO","N/A","En espera")</f>
        <v>N/A</v>
      </c>
      <c r="G40" s="125" t="str">
        <f>TEXT(VEND[[#This Row],[Fecha Recibe
O.C]],"mmmm")</f>
        <v>N/A</v>
      </c>
      <c r="H40" s="112" t="s">
        <v>1182</v>
      </c>
      <c r="I40" s="55" t="s">
        <v>1241</v>
      </c>
      <c r="J40" s="112"/>
      <c r="K40" s="58">
        <v>1</v>
      </c>
      <c r="L40" s="123">
        <v>10890</v>
      </c>
      <c r="M40" s="112"/>
      <c r="N40" s="112"/>
      <c r="O40" s="212" t="str">
        <f>IF(VEND[[#This Row],[STATUS]]="O.C",(VEND[[#This Row],[Fecha Recibe
O.C]]+VEND[[#This Row],[Dias
entrega ]]),"")</f>
        <v/>
      </c>
      <c r="P40" s="212"/>
      <c r="Q40" s="58" t="str">
        <f>IFERROR(VEND[[#This Row],[Fecha de Despacho]]-VEND[[#This Row],[Fecha Estimada de Entrega a  Cliente]],"")</f>
        <v/>
      </c>
      <c r="R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" s="112" t="str">
        <f>IF(VEND[[#This Row],[STATUS]]="O.C","APROBADO",IF(VEND[[#This Row],[STATUS]]="PERDIDO","PERDIDO",IF(VEND[[#This Row],[STATUS]]="EN ESPERA","EN ESPERA")))</f>
        <v>PERDIDO</v>
      </c>
      <c r="T40" s="112" t="str">
        <f>IF(VEND[[#This Row],[STATUS]]="O.C","APROBADO",IF(VEND[[#This Row],[STATUS]]="PERDIDO","PERDIDO",IF(VEND[[#This Row],[STATUS]]="EN ESPERA","EN ESPERA")))</f>
        <v>PERDIDO</v>
      </c>
      <c r="U40" s="55" t="s">
        <v>23</v>
      </c>
      <c r="V40" s="55" t="s">
        <v>23</v>
      </c>
      <c r="W40" s="55" t="s">
        <v>1409</v>
      </c>
      <c r="X40" s="112"/>
    </row>
    <row r="41" spans="2:24" ht="15.75" x14ac:dyDescent="0.25">
      <c r="B41" s="71">
        <v>44244</v>
      </c>
      <c r="C41" s="71" t="str">
        <f>TEXT(VEND[[#This Row],[Fecha de Envío
Cotización]],"mmmm")</f>
        <v>febrero</v>
      </c>
      <c r="D41" s="66" t="s">
        <v>1163</v>
      </c>
      <c r="E41" s="115" t="s">
        <v>42</v>
      </c>
      <c r="F41" s="125" t="str">
        <f>IF(VEND[[#This Row],[STATUS]]="PERDIDO","N/A","En espera")</f>
        <v>N/A</v>
      </c>
      <c r="G41" s="125" t="str">
        <f>TEXT(VEND[[#This Row],[Fecha Recibe
O.C]],"mmmm")</f>
        <v>N/A</v>
      </c>
      <c r="H41" s="112" t="s">
        <v>1183</v>
      </c>
      <c r="I41" s="112" t="s">
        <v>1241</v>
      </c>
      <c r="J41" s="112"/>
      <c r="K41" s="58">
        <v>6</v>
      </c>
      <c r="L41" s="123">
        <v>11669.88</v>
      </c>
      <c r="M41" s="112"/>
      <c r="N41" s="112"/>
      <c r="O41" s="212" t="str">
        <f>IF(VEND[[#This Row],[STATUS]]="O.C",(VEND[[#This Row],[Fecha Recibe
O.C]]+VEND[[#This Row],[Dias
entrega ]]),"")</f>
        <v/>
      </c>
      <c r="P41" s="212"/>
      <c r="Q41" s="58" t="str">
        <f>IFERROR(VEND[[#This Row],[Fecha de Despacho]]-VEND[[#This Row],[Fecha Estimada de Entrega a  Cliente]],"")</f>
        <v/>
      </c>
      <c r="R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" s="112" t="str">
        <f>IF(VEND[[#This Row],[STATUS]]="O.C","APROBADO",IF(VEND[[#This Row],[STATUS]]="PERDIDO","PERDIDO",IF(VEND[[#This Row],[STATUS]]="EN ESPERA","EN ESPERA")))</f>
        <v>PERDIDO</v>
      </c>
      <c r="T41" s="112" t="str">
        <f>IF(VEND[[#This Row],[STATUS]]="O.C","APROBADO",IF(VEND[[#This Row],[STATUS]]="PERDIDO","PERDIDO",IF(VEND[[#This Row],[STATUS]]="EN ESPERA","EN ESPERA")))</f>
        <v>PERDIDO</v>
      </c>
      <c r="U41" s="112" t="s">
        <v>23</v>
      </c>
      <c r="V41" s="112" t="s">
        <v>23</v>
      </c>
      <c r="W41" s="112" t="s">
        <v>1409</v>
      </c>
      <c r="X41" s="112"/>
    </row>
    <row r="42" spans="2:24" ht="15.75" x14ac:dyDescent="0.25">
      <c r="B42" s="71">
        <v>44244</v>
      </c>
      <c r="C42" s="71" t="str">
        <f>TEXT(VEND[[#This Row],[Fecha de Envío
Cotización]],"mmmm")</f>
        <v>febrero</v>
      </c>
      <c r="D42" s="66" t="s">
        <v>1163</v>
      </c>
      <c r="E42" s="115" t="s">
        <v>42</v>
      </c>
      <c r="F42" s="125" t="str">
        <f>IF(VEND[[#This Row],[STATUS]]="PERDIDO","N/A","En espera")</f>
        <v>N/A</v>
      </c>
      <c r="G42" s="125" t="str">
        <f>TEXT(VEND[[#This Row],[Fecha Recibe
O.C]],"mmmm")</f>
        <v>N/A</v>
      </c>
      <c r="H42" s="112" t="s">
        <v>1181</v>
      </c>
      <c r="I42" s="112" t="s">
        <v>1241</v>
      </c>
      <c r="J42" s="112"/>
      <c r="K42" s="58">
        <v>1</v>
      </c>
      <c r="L42" s="123">
        <v>770</v>
      </c>
      <c r="M42" s="112"/>
      <c r="N42" s="112"/>
      <c r="O42" s="212" t="str">
        <f>IF(VEND[[#This Row],[STATUS]]="O.C",(VEND[[#This Row],[Fecha Recibe
O.C]]+VEND[[#This Row],[Dias
entrega ]]),"")</f>
        <v/>
      </c>
      <c r="P42" s="212"/>
      <c r="Q42" s="58" t="str">
        <f>IFERROR(VEND[[#This Row],[Fecha de Despacho]]-VEND[[#This Row],[Fecha Estimada de Entrega a  Cliente]],"")</f>
        <v/>
      </c>
      <c r="R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" s="112" t="str">
        <f>IF(VEND[[#This Row],[STATUS]]="O.C","APROBADO",IF(VEND[[#This Row],[STATUS]]="PERDIDO","PERDIDO",IF(VEND[[#This Row],[STATUS]]="EN ESPERA","EN ESPERA")))</f>
        <v>PERDIDO</v>
      </c>
      <c r="T42" s="112" t="str">
        <f>IF(VEND[[#This Row],[STATUS]]="O.C","APROBADO",IF(VEND[[#This Row],[STATUS]]="PERDIDO","PERDIDO",IF(VEND[[#This Row],[STATUS]]="EN ESPERA","EN ESPERA")))</f>
        <v>PERDIDO</v>
      </c>
      <c r="U42" s="55" t="s">
        <v>23</v>
      </c>
      <c r="V42" s="55" t="s">
        <v>23</v>
      </c>
      <c r="W42" s="55" t="s">
        <v>1409</v>
      </c>
      <c r="X42" s="112"/>
    </row>
    <row r="43" spans="2:24" ht="15.75" x14ac:dyDescent="0.25">
      <c r="B43" s="71">
        <v>44244</v>
      </c>
      <c r="C43" s="71" t="str">
        <f>TEXT(VEND[[#This Row],[Fecha de Envío
Cotización]],"mmmm")</f>
        <v>febrero</v>
      </c>
      <c r="D43" s="66" t="s">
        <v>1163</v>
      </c>
      <c r="E43" s="115" t="s">
        <v>42</v>
      </c>
      <c r="F43" s="92" t="str">
        <f>IF(VEND[[#This Row],[STATUS]]="PERDIDO","N/A","En espera")</f>
        <v>N/A</v>
      </c>
      <c r="G43" s="125" t="str">
        <f>TEXT(VEND[[#This Row],[Fecha Recibe
O.C]],"mmmm")</f>
        <v>N/A</v>
      </c>
      <c r="H43" s="112" t="s">
        <v>1185</v>
      </c>
      <c r="I43" s="112" t="s">
        <v>1241</v>
      </c>
      <c r="J43" s="112"/>
      <c r="K43" s="58">
        <v>1</v>
      </c>
      <c r="L43" s="123">
        <v>160</v>
      </c>
      <c r="M43" s="112"/>
      <c r="N43" s="112"/>
      <c r="O43" s="212" t="str">
        <f>IF(VEND[[#This Row],[STATUS]]="O.C",(VEND[[#This Row],[Fecha Recibe
O.C]]+VEND[[#This Row],[Dias
entrega ]]),"")</f>
        <v/>
      </c>
      <c r="P43" s="212"/>
      <c r="Q43" s="58" t="str">
        <f>IFERROR(VEND[[#This Row],[Fecha de Despacho]]-VEND[[#This Row],[Fecha Estimada de Entrega a  Cliente]],"")</f>
        <v/>
      </c>
      <c r="R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" s="112" t="str">
        <f>IF(VEND[[#This Row],[STATUS]]="O.C","APROBADO",IF(VEND[[#This Row],[STATUS]]="PERDIDO","PERDIDO",IF(VEND[[#This Row],[STATUS]]="EN ESPERA","EN ESPERA")))</f>
        <v>PERDIDO</v>
      </c>
      <c r="T43" s="112" t="str">
        <f>IF(VEND[[#This Row],[STATUS]]="O.C","APROBADO",IF(VEND[[#This Row],[STATUS]]="PERDIDO","PERDIDO",IF(VEND[[#This Row],[STATUS]]="EN ESPERA","EN ESPERA")))</f>
        <v>PERDIDO</v>
      </c>
      <c r="U43" s="112" t="s">
        <v>23</v>
      </c>
      <c r="V43" s="112" t="s">
        <v>23</v>
      </c>
      <c r="W43" s="112" t="s">
        <v>1409</v>
      </c>
      <c r="X43" s="112"/>
    </row>
    <row r="44" spans="2:24" ht="15.75" x14ac:dyDescent="0.25">
      <c r="B44" s="71">
        <v>44244</v>
      </c>
      <c r="C44" s="71" t="str">
        <f>TEXT(VEND[[#This Row],[Fecha de Envío
Cotización]],"mmmm")</f>
        <v>febrero</v>
      </c>
      <c r="D44" s="66" t="s">
        <v>1163</v>
      </c>
      <c r="E44" s="92" t="s">
        <v>42</v>
      </c>
      <c r="F44" s="92" t="str">
        <f>IF(VEND[[#This Row],[STATUS]]="PERDIDO","N/A","En espera")</f>
        <v>N/A</v>
      </c>
      <c r="G44" s="125" t="str">
        <f>TEXT(VEND[[#This Row],[Fecha Recibe
O.C]],"mmmm")</f>
        <v>N/A</v>
      </c>
      <c r="H44" s="112" t="s">
        <v>1184</v>
      </c>
      <c r="I44" s="112" t="s">
        <v>1241</v>
      </c>
      <c r="J44" s="112"/>
      <c r="K44" s="58">
        <v>1</v>
      </c>
      <c r="L44" s="123">
        <v>145</v>
      </c>
      <c r="M44" s="112"/>
      <c r="N44" s="112"/>
      <c r="O44" s="212" t="str">
        <f>IF(VEND[[#This Row],[STATUS]]="O.C",(VEND[[#This Row],[Fecha Recibe
O.C]]+VEND[[#This Row],[Dias
entrega ]]),"")</f>
        <v/>
      </c>
      <c r="P44" s="212"/>
      <c r="Q44" s="58" t="str">
        <f>IFERROR(VEND[[#This Row],[Fecha de Despacho]]-VEND[[#This Row],[Fecha Estimada de Entrega a  Cliente]],"")</f>
        <v/>
      </c>
      <c r="R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" s="112" t="str">
        <f>IF(VEND[[#This Row],[STATUS]]="O.C","APROBADO",IF(VEND[[#This Row],[STATUS]]="PERDIDO","PERDIDO",IF(VEND[[#This Row],[STATUS]]="EN ESPERA","EN ESPERA")))</f>
        <v>PERDIDO</v>
      </c>
      <c r="T44" s="112" t="str">
        <f>IF(VEND[[#This Row],[STATUS]]="O.C","APROBADO",IF(VEND[[#This Row],[STATUS]]="PERDIDO","PERDIDO",IF(VEND[[#This Row],[STATUS]]="EN ESPERA","EN ESPERA")))</f>
        <v>PERDIDO</v>
      </c>
      <c r="U44" s="112" t="s">
        <v>23</v>
      </c>
      <c r="V44" s="112" t="s">
        <v>23</v>
      </c>
      <c r="W44" s="112" t="s">
        <v>1409</v>
      </c>
      <c r="X44" s="112"/>
    </row>
    <row r="45" spans="2:24" ht="15.75" x14ac:dyDescent="0.25">
      <c r="B45" s="47">
        <v>44245</v>
      </c>
      <c r="C45" s="47" t="str">
        <f>TEXT(VEND[[#This Row],[Fecha de Envío
Cotización]],"mmmm")</f>
        <v>febrero</v>
      </c>
      <c r="D45" s="112" t="s">
        <v>945</v>
      </c>
      <c r="E45" s="92" t="s">
        <v>42</v>
      </c>
      <c r="F45" s="125" t="str">
        <f>IF(VEND[[#This Row],[STATUS]]="PERDIDO","N/A","En espera")</f>
        <v>N/A</v>
      </c>
      <c r="G45" s="125" t="str">
        <f>TEXT(VEND[[#This Row],[Fecha Recibe
O.C]],"mmmm")</f>
        <v>N/A</v>
      </c>
      <c r="H45" s="112">
        <v>20010</v>
      </c>
      <c r="I45" s="112" t="s">
        <v>1114</v>
      </c>
      <c r="J45" s="112"/>
      <c r="K45" s="58">
        <v>1</v>
      </c>
      <c r="L45" s="123">
        <v>780</v>
      </c>
      <c r="M45" s="112" t="s">
        <v>22</v>
      </c>
      <c r="N45" s="112">
        <v>0</v>
      </c>
      <c r="O45" s="212" t="str">
        <f>IF(VEND[[#This Row],[STATUS]]="O.C",(VEND[[#This Row],[Fecha Recibe
O.C]]+VEND[[#This Row],[Dias
entrega ]]),"")</f>
        <v/>
      </c>
      <c r="P45" s="47"/>
      <c r="Q45" s="220" t="str">
        <f>IFERROR(VEND[[#This Row],[Fecha de Despacho]]-VEND[[#This Row],[Fecha Estimada de Entrega a  Cliente]],"")</f>
        <v/>
      </c>
      <c r="R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" s="112" t="str">
        <f>IF(VEND[[#This Row],[STATUS]]="O.C","APROBADO",IF(VEND[[#This Row],[STATUS]]="PERDIDO","PERDIDO",IF(VEND[[#This Row],[STATUS]]="EN ESPERA","EN ESPERA")))</f>
        <v>PERDIDO</v>
      </c>
      <c r="T45" s="112" t="str">
        <f>IF(VEND[[#This Row],[STATUS]]="O.C","APROBADO",IF(VEND[[#This Row],[STATUS]]="PERDIDO","PERDIDO",IF(VEND[[#This Row],[STATUS]]="EN ESPERA","EN ESPERA")))</f>
        <v>PERDIDO</v>
      </c>
      <c r="U45" s="59" t="s">
        <v>23</v>
      </c>
      <c r="V45" s="59" t="s">
        <v>23</v>
      </c>
      <c r="W45" s="59" t="s">
        <v>1401</v>
      </c>
      <c r="X45" s="112"/>
    </row>
    <row r="46" spans="2:24" ht="15.75" x14ac:dyDescent="0.25">
      <c r="B46" s="71">
        <v>44245</v>
      </c>
      <c r="C46" s="71" t="str">
        <f>TEXT(VEND[[#This Row],[Fecha de Envío
Cotización]],"mmmm")</f>
        <v>febrero</v>
      </c>
      <c r="D46" s="112" t="s">
        <v>944</v>
      </c>
      <c r="E46" s="92" t="s">
        <v>42</v>
      </c>
      <c r="F46" s="92" t="str">
        <f>IF(VEND[[#This Row],[STATUS]]="PERDIDO","N/A","En espera")</f>
        <v>N/A</v>
      </c>
      <c r="G46" s="125" t="str">
        <f>TEXT(VEND[[#This Row],[Fecha Recibe
O.C]],"mmmm")</f>
        <v>N/A</v>
      </c>
      <c r="H46" s="112">
        <v>22187</v>
      </c>
      <c r="I46" s="112" t="s">
        <v>329</v>
      </c>
      <c r="J46" s="112"/>
      <c r="K46" s="58">
        <v>3</v>
      </c>
      <c r="L46" s="123">
        <v>1090</v>
      </c>
      <c r="M46" s="112" t="s">
        <v>15</v>
      </c>
      <c r="N46" s="112">
        <v>14</v>
      </c>
      <c r="O46" s="212" t="str">
        <f>IF(VEND[[#This Row],[STATUS]]="O.C",(VEND[[#This Row],[Fecha Recibe
O.C]]+VEND[[#This Row],[Dias
entrega ]]),"")</f>
        <v/>
      </c>
      <c r="P46" s="212"/>
      <c r="Q46" s="58" t="str">
        <f>IFERROR(VEND[[#This Row],[Fecha de Despacho]]-VEND[[#This Row],[Fecha Estimada de Entrega a  Cliente]],"")</f>
        <v/>
      </c>
      <c r="R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" s="112" t="str">
        <f>IF(VEND[[#This Row],[STATUS]]="O.C","APROBADO",IF(VEND[[#This Row],[STATUS]]="PERDIDO","PERDIDO",IF(VEND[[#This Row],[STATUS]]="EN ESPERA","EN ESPERA")))</f>
        <v>PERDIDO</v>
      </c>
      <c r="T46" s="112" t="str">
        <f>IF(VEND[[#This Row],[STATUS]]="O.C","APROBADO",IF(VEND[[#This Row],[STATUS]]="PERDIDO","PERDIDO",IF(VEND[[#This Row],[STATUS]]="EN ESPERA","EN ESPERA")))</f>
        <v>PERDIDO</v>
      </c>
      <c r="U46" s="112" t="s">
        <v>23</v>
      </c>
      <c r="V46" s="112" t="s">
        <v>23</v>
      </c>
      <c r="W46" s="112" t="s">
        <v>1405</v>
      </c>
      <c r="X46" s="112"/>
    </row>
    <row r="47" spans="2:24" ht="15.75" x14ac:dyDescent="0.25">
      <c r="B47" s="47">
        <v>44246</v>
      </c>
      <c r="C47" s="47" t="str">
        <f>TEXT(VEND[[#This Row],[Fecha de Envío
Cotización]],"mmmm")</f>
        <v>febrero</v>
      </c>
      <c r="D47" s="112" t="s">
        <v>50</v>
      </c>
      <c r="E47" s="92" t="s">
        <v>42</v>
      </c>
      <c r="F47" s="92" t="str">
        <f>IF(VEND[[#This Row],[STATUS]]="PERDIDO","N/A","En espera")</f>
        <v>N/A</v>
      </c>
      <c r="G47" s="125" t="str">
        <f>TEXT(VEND[[#This Row],[Fecha Recibe
O.C]],"mmmm")</f>
        <v>N/A</v>
      </c>
      <c r="H47" s="112">
        <v>19801</v>
      </c>
      <c r="I47" s="112" t="s">
        <v>33</v>
      </c>
      <c r="J47" s="112"/>
      <c r="K47" s="145">
        <v>1</v>
      </c>
      <c r="L47" s="123">
        <v>796.38</v>
      </c>
      <c r="M47" s="59" t="s">
        <v>36</v>
      </c>
      <c r="N47" s="59">
        <v>28</v>
      </c>
      <c r="O47" s="212" t="str">
        <f>IF(VEND[[#This Row],[STATUS]]="O.C",(VEND[[#This Row],[Fecha Recibe
O.C]]+VEND[[#This Row],[Dias
entrega ]]),"")</f>
        <v/>
      </c>
      <c r="P47" s="47"/>
      <c r="Q47" s="220" t="str">
        <f>IFERROR(VEND[[#This Row],[Fecha de Despacho]]-VEND[[#This Row],[Fecha Estimada de Entrega a  Cliente]],"")</f>
        <v/>
      </c>
      <c r="R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" s="112" t="str">
        <f>IF(VEND[[#This Row],[STATUS]]="O.C","APROBADO",IF(VEND[[#This Row],[STATUS]]="PERDIDO","PERDIDO",IF(VEND[[#This Row],[STATUS]]="EN ESPERA","EN ESPERA")))</f>
        <v>PERDIDO</v>
      </c>
      <c r="T47" s="112" t="str">
        <f>IF(VEND[[#This Row],[STATUS]]="O.C","APROBADO",IF(VEND[[#This Row],[STATUS]]="PERDIDO","PERDIDO",IF(VEND[[#This Row],[STATUS]]="EN ESPERA","EN ESPERA")))</f>
        <v>PERDIDO</v>
      </c>
      <c r="U47" s="59" t="s">
        <v>23</v>
      </c>
      <c r="V47" s="59" t="s">
        <v>23</v>
      </c>
      <c r="W47" s="59" t="s">
        <v>1402</v>
      </c>
      <c r="X47" s="112"/>
    </row>
    <row r="48" spans="2:24" ht="15.75" x14ac:dyDescent="0.25">
      <c r="B48" s="47">
        <v>44246</v>
      </c>
      <c r="C48" s="47" t="str">
        <f>TEXT(VEND[[#This Row],[Fecha de Envío
Cotización]],"mmmm")</f>
        <v>febrero</v>
      </c>
      <c r="D48" s="112" t="s">
        <v>50</v>
      </c>
      <c r="E48" s="92" t="s">
        <v>42</v>
      </c>
      <c r="F48" s="92" t="str">
        <f>IF(VEND[[#This Row],[STATUS]]="PERDIDO","N/A","En espera")</f>
        <v>N/A</v>
      </c>
      <c r="G48" s="125" t="str">
        <f>TEXT(VEND[[#This Row],[Fecha Recibe
O.C]],"mmmm")</f>
        <v>N/A</v>
      </c>
      <c r="H48" s="112">
        <v>20096</v>
      </c>
      <c r="I48" s="112" t="s">
        <v>1066</v>
      </c>
      <c r="J48" s="112"/>
      <c r="K48" s="58">
        <v>2</v>
      </c>
      <c r="L48" s="123">
        <v>2362</v>
      </c>
      <c r="M48" s="59"/>
      <c r="N48" s="59">
        <v>0</v>
      </c>
      <c r="O48" s="212" t="str">
        <f>IF(VEND[[#This Row],[STATUS]]="O.C",(VEND[[#This Row],[Fecha Recibe
O.C]]+VEND[[#This Row],[Dias
entrega ]]),"")</f>
        <v/>
      </c>
      <c r="P48" s="47"/>
      <c r="Q48" s="220" t="str">
        <f>IFERROR(VEND[[#This Row],[Fecha de Despacho]]-VEND[[#This Row],[Fecha Estimada de Entrega a  Cliente]],"")</f>
        <v/>
      </c>
      <c r="R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" s="112" t="str">
        <f>IF(VEND[[#This Row],[STATUS]]="O.C","APROBADO",IF(VEND[[#This Row],[STATUS]]="PERDIDO","PERDIDO",IF(VEND[[#This Row],[STATUS]]="EN ESPERA","EN ESPERA")))</f>
        <v>PERDIDO</v>
      </c>
      <c r="T48" s="112" t="str">
        <f>IF(VEND[[#This Row],[STATUS]]="O.C","APROBADO",IF(VEND[[#This Row],[STATUS]]="PERDIDO","PERDIDO",IF(VEND[[#This Row],[STATUS]]="EN ESPERA","EN ESPERA")))</f>
        <v>PERDIDO</v>
      </c>
      <c r="U48" s="59" t="s">
        <v>23</v>
      </c>
      <c r="V48" s="59" t="s">
        <v>23</v>
      </c>
      <c r="W48" s="59" t="s">
        <v>1401</v>
      </c>
      <c r="X48" s="112"/>
    </row>
    <row r="49" spans="2:24" ht="15.75" x14ac:dyDescent="0.25">
      <c r="B49" s="47">
        <v>44246</v>
      </c>
      <c r="C49" s="47" t="str">
        <f>TEXT(VEND[[#This Row],[Fecha de Envío
Cotización]],"mmmm")</f>
        <v>febrero</v>
      </c>
      <c r="D49" s="112" t="s">
        <v>50</v>
      </c>
      <c r="E49" s="92" t="s">
        <v>42</v>
      </c>
      <c r="F49" s="92" t="str">
        <f>IF(VEND[[#This Row],[STATUS]]="PERDIDO","N/A","En espera")</f>
        <v>N/A</v>
      </c>
      <c r="G49" s="125" t="str">
        <f>TEXT(VEND[[#This Row],[Fecha Recibe
O.C]],"mmmm")</f>
        <v>N/A</v>
      </c>
      <c r="H49" s="112">
        <v>20099</v>
      </c>
      <c r="I49" s="112" t="s">
        <v>126</v>
      </c>
      <c r="J49" s="112"/>
      <c r="K49" s="58">
        <v>5</v>
      </c>
      <c r="L49" s="123">
        <v>649.82000000000005</v>
      </c>
      <c r="M49" s="59" t="s">
        <v>16</v>
      </c>
      <c r="N49" s="59">
        <v>21</v>
      </c>
      <c r="O49" s="212" t="str">
        <f>IF(VEND[[#This Row],[STATUS]]="O.C",(VEND[[#This Row],[Fecha Recibe
O.C]]+VEND[[#This Row],[Dias
entrega ]]),"")</f>
        <v/>
      </c>
      <c r="P49" s="47"/>
      <c r="Q49" s="220" t="str">
        <f>IFERROR(VEND[[#This Row],[Fecha de Despacho]]-VEND[[#This Row],[Fecha Estimada de Entrega a  Cliente]],"")</f>
        <v/>
      </c>
      <c r="R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" s="112" t="str">
        <f>IF(VEND[[#This Row],[STATUS]]="O.C","APROBADO",IF(VEND[[#This Row],[STATUS]]="PERDIDO","PERDIDO",IF(VEND[[#This Row],[STATUS]]="EN ESPERA","EN ESPERA")))</f>
        <v>PERDIDO</v>
      </c>
      <c r="T49" s="112" t="str">
        <f>IF(VEND[[#This Row],[STATUS]]="O.C","APROBADO",IF(VEND[[#This Row],[STATUS]]="PERDIDO","PERDIDO",IF(VEND[[#This Row],[STATUS]]="EN ESPERA","EN ESPERA")))</f>
        <v>PERDIDO</v>
      </c>
      <c r="U49" s="59" t="s">
        <v>23</v>
      </c>
      <c r="V49" s="59" t="s">
        <v>23</v>
      </c>
      <c r="W49" s="59" t="s">
        <v>1401</v>
      </c>
      <c r="X49" s="112"/>
    </row>
    <row r="50" spans="2:24" ht="15.75" x14ac:dyDescent="0.25">
      <c r="B50" s="47">
        <v>44246</v>
      </c>
      <c r="C50" s="47" t="str">
        <f>TEXT(VEND[[#This Row],[Fecha de Envío
Cotización]],"mmmm")</f>
        <v>febrero</v>
      </c>
      <c r="D50" s="112" t="s">
        <v>50</v>
      </c>
      <c r="E50" s="92" t="s">
        <v>42</v>
      </c>
      <c r="F50" s="92" t="str">
        <f>IF(VEND[[#This Row],[STATUS]]="PERDIDO","N/A","En espera")</f>
        <v>N/A</v>
      </c>
      <c r="G50" s="125" t="str">
        <f>TEXT(VEND[[#This Row],[Fecha Recibe
O.C]],"mmmm")</f>
        <v>N/A</v>
      </c>
      <c r="H50" s="112">
        <v>20101</v>
      </c>
      <c r="I50" s="112" t="s">
        <v>1073</v>
      </c>
      <c r="J50" s="112"/>
      <c r="K50" s="58">
        <v>1</v>
      </c>
      <c r="L50" s="123">
        <v>6484.64</v>
      </c>
      <c r="M50" s="59" t="s">
        <v>36</v>
      </c>
      <c r="N50" s="59">
        <v>28</v>
      </c>
      <c r="O50" s="212" t="str">
        <f>IF(VEND[[#This Row],[STATUS]]="O.C",(VEND[[#This Row],[Fecha Recibe
O.C]]+VEND[[#This Row],[Dias
entrega ]]),"")</f>
        <v/>
      </c>
      <c r="P50" s="47"/>
      <c r="Q50" s="220" t="str">
        <f>IFERROR(VEND[[#This Row],[Fecha de Despacho]]-VEND[[#This Row],[Fecha Estimada de Entrega a  Cliente]],"")</f>
        <v/>
      </c>
      <c r="R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" s="112" t="str">
        <f>IF(VEND[[#This Row],[STATUS]]="O.C","APROBADO",IF(VEND[[#This Row],[STATUS]]="PERDIDO","PERDIDO",IF(VEND[[#This Row],[STATUS]]="EN ESPERA","EN ESPERA")))</f>
        <v>PERDIDO</v>
      </c>
      <c r="T50" s="112" t="str">
        <f>IF(VEND[[#This Row],[STATUS]]="O.C","APROBADO",IF(VEND[[#This Row],[STATUS]]="PERDIDO","PERDIDO",IF(VEND[[#This Row],[STATUS]]="EN ESPERA","EN ESPERA")))</f>
        <v>PERDIDO</v>
      </c>
      <c r="U50" s="59" t="s">
        <v>23</v>
      </c>
      <c r="V50" s="59" t="s">
        <v>23</v>
      </c>
      <c r="W50" s="59" t="s">
        <v>1406</v>
      </c>
      <c r="X50" s="112"/>
    </row>
    <row r="51" spans="2:24" ht="15.75" x14ac:dyDescent="0.25">
      <c r="B51" s="71">
        <v>44249</v>
      </c>
      <c r="C51" s="71" t="str">
        <f>TEXT(VEND[[#This Row],[Fecha de Envío
Cotización]],"mmmm")</f>
        <v>febrero</v>
      </c>
      <c r="D51" s="112" t="s">
        <v>944</v>
      </c>
      <c r="E51" s="92" t="s">
        <v>42</v>
      </c>
      <c r="F51" s="125" t="str">
        <f>IF(VEND[[#This Row],[STATUS]]="PERDIDO","N/A","En espera")</f>
        <v>N/A</v>
      </c>
      <c r="G51" s="125" t="str">
        <f>TEXT(VEND[[#This Row],[Fecha Recibe
O.C]],"mmmm")</f>
        <v>N/A</v>
      </c>
      <c r="H51" s="112">
        <v>22199</v>
      </c>
      <c r="I51" s="112" t="s">
        <v>76</v>
      </c>
      <c r="J51" s="112"/>
      <c r="K51" s="58">
        <v>1</v>
      </c>
      <c r="L51" s="123">
        <v>155.19999999999999</v>
      </c>
      <c r="M51" s="112" t="s">
        <v>73</v>
      </c>
      <c r="N51" s="112">
        <v>14</v>
      </c>
      <c r="O51" s="212" t="str">
        <f>IF(VEND[[#This Row],[STATUS]]="O.C",(VEND[[#This Row],[Fecha Recibe
O.C]]+VEND[[#This Row],[Dias
entrega ]]),"")</f>
        <v/>
      </c>
      <c r="P51" s="212"/>
      <c r="Q51" s="58" t="str">
        <f>IFERROR(VEND[[#This Row],[Fecha de Despacho]]-VEND[[#This Row],[Fecha Estimada de Entrega a  Cliente]],"")</f>
        <v/>
      </c>
      <c r="R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" s="112" t="str">
        <f>IF(VEND[[#This Row],[STATUS]]="O.C","APROBADO",IF(VEND[[#This Row],[STATUS]]="PERDIDO","PERDIDO",IF(VEND[[#This Row],[STATUS]]="EN ESPERA","EN ESPERA")))</f>
        <v>PERDIDO</v>
      </c>
      <c r="T51" s="112" t="str">
        <f>IF(VEND[[#This Row],[STATUS]]="O.C","APROBADO",IF(VEND[[#This Row],[STATUS]]="PERDIDO","PERDIDO",IF(VEND[[#This Row],[STATUS]]="EN ESPERA","EN ESPERA")))</f>
        <v>PERDIDO</v>
      </c>
      <c r="U51" s="112" t="s">
        <v>23</v>
      </c>
      <c r="V51" s="112" t="s">
        <v>23</v>
      </c>
      <c r="W51" s="112" t="s">
        <v>1402</v>
      </c>
      <c r="X51" s="112"/>
    </row>
    <row r="52" spans="2:24" ht="15.75" x14ac:dyDescent="0.25">
      <c r="B52" s="71">
        <v>44250</v>
      </c>
      <c r="C52" s="71" t="str">
        <f>TEXT(VEND[[#This Row],[Fecha de Envío
Cotización]],"mmmm")</f>
        <v>febrero</v>
      </c>
      <c r="D52" s="112" t="s">
        <v>68</v>
      </c>
      <c r="E52" s="92" t="s">
        <v>42</v>
      </c>
      <c r="F52" s="92" t="str">
        <f>IF(VEND[[#This Row],[STATUS]]="PERDIDO","N/A","En espera")</f>
        <v>N/A</v>
      </c>
      <c r="G52" s="125" t="str">
        <f>TEXT(VEND[[#This Row],[Fecha Recibe
O.C]],"mmmm")</f>
        <v>N/A</v>
      </c>
      <c r="H52" s="112">
        <v>20153</v>
      </c>
      <c r="I52" s="112" t="s">
        <v>96</v>
      </c>
      <c r="J52" s="112"/>
      <c r="K52" s="58">
        <v>2</v>
      </c>
      <c r="L52" s="123">
        <v>618</v>
      </c>
      <c r="M52" s="112" t="s">
        <v>73</v>
      </c>
      <c r="N52" s="112">
        <v>14</v>
      </c>
      <c r="O52" s="212" t="str">
        <f>IF(VEND[[#This Row],[STATUS]]="O.C",(VEND[[#This Row],[Fecha Recibe
O.C]]+VEND[[#This Row],[Dias
entrega ]]),"")</f>
        <v/>
      </c>
      <c r="P52" s="212"/>
      <c r="Q52" s="58" t="str">
        <f>IFERROR(VEND[[#This Row],[Fecha de Despacho]]-VEND[[#This Row],[Fecha Estimada de Entrega a  Cliente]],"")</f>
        <v/>
      </c>
      <c r="R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" s="112" t="str">
        <f>IF(VEND[[#This Row],[STATUS]]="O.C","APROBADO",IF(VEND[[#This Row],[STATUS]]="PERDIDO","PERDIDO",IF(VEND[[#This Row],[STATUS]]="EN ESPERA","EN ESPERA")))</f>
        <v>PERDIDO</v>
      </c>
      <c r="T52" s="112" t="str">
        <f>IF(VEND[[#This Row],[STATUS]]="O.C","APROBADO",IF(VEND[[#This Row],[STATUS]]="PERDIDO","PERDIDO",IF(VEND[[#This Row],[STATUS]]="EN ESPERA","EN ESPERA")))</f>
        <v>PERDIDO</v>
      </c>
      <c r="U52" s="112" t="s">
        <v>23</v>
      </c>
      <c r="V52" s="112" t="s">
        <v>23</v>
      </c>
      <c r="W52" s="112" t="s">
        <v>1402</v>
      </c>
      <c r="X52" s="112"/>
    </row>
    <row r="53" spans="2:24" ht="15.75" x14ac:dyDescent="0.25">
      <c r="B53" s="71">
        <v>44251</v>
      </c>
      <c r="C53" s="71" t="str">
        <f>TEXT(VEND[[#This Row],[Fecha de Envío
Cotización]],"mmmm")</f>
        <v>febrero</v>
      </c>
      <c r="D53" s="112" t="s">
        <v>50</v>
      </c>
      <c r="E53" s="92" t="s">
        <v>83</v>
      </c>
      <c r="F53" s="92">
        <v>44258</v>
      </c>
      <c r="G53" s="125" t="str">
        <f>TEXT(VEND[[#This Row],[Fecha Recibe
O.C]],"mmmm")</f>
        <v>marzo</v>
      </c>
      <c r="H53" s="112">
        <v>19322</v>
      </c>
      <c r="I53" s="112" t="s">
        <v>33</v>
      </c>
      <c r="J53" s="112"/>
      <c r="K53" s="145">
        <v>2</v>
      </c>
      <c r="L53" s="123">
        <v>373.82</v>
      </c>
      <c r="M53" s="112" t="s">
        <v>36</v>
      </c>
      <c r="N53" s="112">
        <v>28</v>
      </c>
      <c r="O53" s="212">
        <f>IF(VEND[[#This Row],[STATUS]]="O.C",(VEND[[#This Row],[Fecha Recibe
O.C]]+VEND[[#This Row],[Dias
entrega ]]),"")</f>
        <v>44286</v>
      </c>
      <c r="P53" s="212">
        <v>44281</v>
      </c>
      <c r="Q53" s="58">
        <f>IFERROR(VEND[[#This Row],[Fecha de Despacho]]-VEND[[#This Row],[Fecha Estimada de Entrega a  Cliente]],"")</f>
        <v>-5</v>
      </c>
      <c r="R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" s="112" t="str">
        <f>IF(VEND[[#This Row],[STATUS]]="O.C","APROBADO",IF(VEND[[#This Row],[STATUS]]="PERDIDO","PERDIDO",IF(VEND[[#This Row],[STATUS]]="EN ESPERA","EN ESPERA")))</f>
        <v>APROBADO</v>
      </c>
      <c r="T53" s="112" t="str">
        <f>IF(VEND[[#This Row],[STATUS]]="O.C","APROBADO",IF(VEND[[#This Row],[STATUS]]="PERDIDO","PERDIDO",IF(VEND[[#This Row],[STATUS]]="EN ESPERA","EN ESPERA")))</f>
        <v>APROBADO</v>
      </c>
      <c r="U53" s="112" t="s">
        <v>45</v>
      </c>
      <c r="V53" s="112" t="s">
        <v>47</v>
      </c>
      <c r="W53" s="59" t="s">
        <v>1402</v>
      </c>
      <c r="X53" s="112" t="s">
        <v>92</v>
      </c>
    </row>
    <row r="54" spans="2:24" ht="15.75" x14ac:dyDescent="0.25">
      <c r="B54" s="47">
        <v>44251</v>
      </c>
      <c r="C54" s="47" t="str">
        <f>TEXT(VEND[[#This Row],[Fecha de Envío
Cotización]],"mmmm")</f>
        <v>febrero</v>
      </c>
      <c r="D54" s="112" t="s">
        <v>50</v>
      </c>
      <c r="E54" s="92" t="s">
        <v>42</v>
      </c>
      <c r="F54" s="92" t="str">
        <f>IF(VEND[[#This Row],[STATUS]]="PERDIDO","N/A","En espera")</f>
        <v>N/A</v>
      </c>
      <c r="G54" s="125" t="str">
        <f>TEXT(VEND[[#This Row],[Fecha Recibe
O.C]],"mmmm")</f>
        <v>N/A</v>
      </c>
      <c r="H54" s="112">
        <v>20102</v>
      </c>
      <c r="I54" s="112" t="s">
        <v>1109</v>
      </c>
      <c r="J54" s="112"/>
      <c r="K54" s="58">
        <v>2</v>
      </c>
      <c r="L54" s="123">
        <v>454.07</v>
      </c>
      <c r="M54" s="112" t="s">
        <v>22</v>
      </c>
      <c r="N54" s="112">
        <v>0</v>
      </c>
      <c r="O54" s="212" t="str">
        <f>IF(VEND[[#This Row],[STATUS]]="O.C",(VEND[[#This Row],[Fecha Recibe
O.C]]+VEND[[#This Row],[Dias
entrega ]]),"")</f>
        <v/>
      </c>
      <c r="P54" s="47"/>
      <c r="Q54" s="220" t="str">
        <f>IFERROR(VEND[[#This Row],[Fecha de Despacho]]-VEND[[#This Row],[Fecha Estimada de Entrega a  Cliente]],"")</f>
        <v/>
      </c>
      <c r="R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" s="112" t="str">
        <f>IF(VEND[[#This Row],[STATUS]]="O.C","APROBADO",IF(VEND[[#This Row],[STATUS]]="PERDIDO","PERDIDO",IF(VEND[[#This Row],[STATUS]]="EN ESPERA","EN ESPERA")))</f>
        <v>PERDIDO</v>
      </c>
      <c r="T54" s="112" t="str">
        <f>IF(VEND[[#This Row],[STATUS]]="O.C","APROBADO",IF(VEND[[#This Row],[STATUS]]="PERDIDO","PERDIDO",IF(VEND[[#This Row],[STATUS]]="EN ESPERA","EN ESPERA")))</f>
        <v>PERDIDO</v>
      </c>
      <c r="U54" s="59" t="s">
        <v>23</v>
      </c>
      <c r="V54" s="59" t="s">
        <v>23</v>
      </c>
      <c r="W54" s="59" t="s">
        <v>1401</v>
      </c>
      <c r="X54" s="112"/>
    </row>
    <row r="55" spans="2:24" ht="15.75" x14ac:dyDescent="0.25">
      <c r="B55" s="47">
        <v>44251</v>
      </c>
      <c r="C55" s="47" t="str">
        <f>TEXT(VEND[[#This Row],[Fecha de Envío
Cotización]],"mmmm")</f>
        <v>febrero</v>
      </c>
      <c r="D55" s="112" t="s">
        <v>50</v>
      </c>
      <c r="E55" s="92" t="s">
        <v>42</v>
      </c>
      <c r="F55" s="92" t="str">
        <f>IF(VEND[[#This Row],[STATUS]]="PERDIDO","N/A","En espera")</f>
        <v>N/A</v>
      </c>
      <c r="G55" s="125" t="str">
        <f>TEXT(VEND[[#This Row],[Fecha Recibe
O.C]],"mmmm")</f>
        <v>N/A</v>
      </c>
      <c r="H55" s="112">
        <v>20103</v>
      </c>
      <c r="I55" s="112" t="s">
        <v>320</v>
      </c>
      <c r="J55" s="112"/>
      <c r="K55" s="58">
        <v>1</v>
      </c>
      <c r="L55" s="123">
        <v>3101</v>
      </c>
      <c r="M55" s="59" t="s">
        <v>16</v>
      </c>
      <c r="N55" s="59">
        <v>21</v>
      </c>
      <c r="O55" s="212" t="str">
        <f>IF(VEND[[#This Row],[STATUS]]="O.C",(VEND[[#This Row],[Fecha Recibe
O.C]]+VEND[[#This Row],[Dias
entrega ]]),"")</f>
        <v/>
      </c>
      <c r="P55" s="47"/>
      <c r="Q55" s="220" t="str">
        <f>IFERROR(VEND[[#This Row],[Fecha de Despacho]]-VEND[[#This Row],[Fecha Estimada de Entrega a  Cliente]],"")</f>
        <v/>
      </c>
      <c r="R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" s="112" t="str">
        <f>IF(VEND[[#This Row],[STATUS]]="O.C","APROBADO",IF(VEND[[#This Row],[STATUS]]="PERDIDO","PERDIDO",IF(VEND[[#This Row],[STATUS]]="EN ESPERA","EN ESPERA")))</f>
        <v>PERDIDO</v>
      </c>
      <c r="T55" s="112" t="str">
        <f>IF(VEND[[#This Row],[STATUS]]="O.C","APROBADO",IF(VEND[[#This Row],[STATUS]]="PERDIDO","PERDIDO",IF(VEND[[#This Row],[STATUS]]="EN ESPERA","EN ESPERA")))</f>
        <v>PERDIDO</v>
      </c>
      <c r="U55" s="59" t="s">
        <v>23</v>
      </c>
      <c r="V55" s="59" t="s">
        <v>23</v>
      </c>
      <c r="W55" s="59" t="s">
        <v>1405</v>
      </c>
      <c r="X55" s="112"/>
    </row>
    <row r="56" spans="2:24" ht="15.75" x14ac:dyDescent="0.25">
      <c r="B56" s="71">
        <v>44251</v>
      </c>
      <c r="C56" s="71" t="str">
        <f>TEXT(VEND[[#This Row],[Fecha de Envío
Cotización]],"mmmm")</f>
        <v>febrero</v>
      </c>
      <c r="D56" s="112" t="s">
        <v>944</v>
      </c>
      <c r="E56" s="92" t="s">
        <v>42</v>
      </c>
      <c r="F56" s="92" t="str">
        <f>IF(VEND[[#This Row],[STATUS]]="PERDIDO","N/A","En espera")</f>
        <v>N/A</v>
      </c>
      <c r="G56" s="125" t="str">
        <f>TEXT(VEND[[#This Row],[Fecha Recibe
O.C]],"mmmm")</f>
        <v>N/A</v>
      </c>
      <c r="H56" s="112">
        <v>20136</v>
      </c>
      <c r="I56" s="112" t="s">
        <v>1056</v>
      </c>
      <c r="J56" s="112"/>
      <c r="K56" s="58">
        <v>2</v>
      </c>
      <c r="L56" s="123">
        <v>1376.2</v>
      </c>
      <c r="M56" s="112" t="s">
        <v>51</v>
      </c>
      <c r="N56" s="112">
        <v>21</v>
      </c>
      <c r="O56" s="212" t="str">
        <f>IF(VEND[[#This Row],[STATUS]]="O.C",(VEND[[#This Row],[Fecha Recibe
O.C]]+VEND[[#This Row],[Dias
entrega ]]),"")</f>
        <v/>
      </c>
      <c r="P56" s="212"/>
      <c r="Q56" s="58" t="str">
        <f>IFERROR(VEND[[#This Row],[Fecha de Despacho]]-VEND[[#This Row],[Fecha Estimada de Entrega a  Cliente]],"")</f>
        <v/>
      </c>
      <c r="R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" s="112" t="str">
        <f>IF(VEND[[#This Row],[STATUS]]="O.C","APROBADO",IF(VEND[[#This Row],[STATUS]]="PERDIDO","PERDIDO",IF(VEND[[#This Row],[STATUS]]="EN ESPERA","EN ESPERA")))</f>
        <v>PERDIDO</v>
      </c>
      <c r="T56" s="112" t="str">
        <f>IF(VEND[[#This Row],[STATUS]]="O.C","APROBADO",IF(VEND[[#This Row],[STATUS]]="PERDIDO","PERDIDO",IF(VEND[[#This Row],[STATUS]]="EN ESPERA","EN ESPERA")))</f>
        <v>PERDIDO</v>
      </c>
      <c r="U56" s="55" t="s">
        <v>23</v>
      </c>
      <c r="V56" s="55" t="s">
        <v>23</v>
      </c>
      <c r="W56" s="55" t="s">
        <v>1405</v>
      </c>
      <c r="X56" s="112"/>
    </row>
    <row r="57" spans="2:24" ht="15.75" x14ac:dyDescent="0.25">
      <c r="B57" s="71">
        <v>44252</v>
      </c>
      <c r="C57" s="71" t="str">
        <f>TEXT(VEND[[#This Row],[Fecha de Envío
Cotización]],"mmmm")</f>
        <v>febrero</v>
      </c>
      <c r="D57" s="112" t="s">
        <v>944</v>
      </c>
      <c r="E57" s="92" t="s">
        <v>42</v>
      </c>
      <c r="F57" s="92" t="str">
        <f>IF(VEND[[#This Row],[STATUS]]="PERDIDO","N/A","En espera")</f>
        <v>N/A</v>
      </c>
      <c r="G57" s="125" t="str">
        <f>TEXT(VEND[[#This Row],[Fecha Recibe
O.C]],"mmmm")</f>
        <v>N/A</v>
      </c>
      <c r="H57" s="112">
        <v>20199</v>
      </c>
      <c r="I57" s="112" t="s">
        <v>1048</v>
      </c>
      <c r="J57" s="112"/>
      <c r="K57" s="58">
        <v>1</v>
      </c>
      <c r="L57" s="123">
        <v>23477.279999999999</v>
      </c>
      <c r="M57" s="112" t="s">
        <v>73</v>
      </c>
      <c r="N57" s="112">
        <v>14</v>
      </c>
      <c r="O57" s="212" t="str">
        <f>IF(VEND[[#This Row],[STATUS]]="O.C",(VEND[[#This Row],[Fecha Recibe
O.C]]+VEND[[#This Row],[Dias
entrega ]]),"")</f>
        <v/>
      </c>
      <c r="P57" s="212"/>
      <c r="Q57" s="58" t="str">
        <f>IFERROR(VEND[[#This Row],[Fecha de Despacho]]-VEND[[#This Row],[Fecha Estimada de Entrega a  Cliente]],"")</f>
        <v/>
      </c>
      <c r="R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" s="112" t="str">
        <f>IF(VEND[[#This Row],[STATUS]]="O.C","APROBADO",IF(VEND[[#This Row],[STATUS]]="PERDIDO","PERDIDO",IF(VEND[[#This Row],[STATUS]]="EN ESPERA","EN ESPERA")))</f>
        <v>PERDIDO</v>
      </c>
      <c r="T57" s="112" t="str">
        <f>IF(VEND[[#This Row],[STATUS]]="O.C","APROBADO",IF(VEND[[#This Row],[STATUS]]="PERDIDO","PERDIDO",IF(VEND[[#This Row],[STATUS]]="EN ESPERA","EN ESPERA")))</f>
        <v>PERDIDO</v>
      </c>
      <c r="U57" s="55" t="s">
        <v>23</v>
      </c>
      <c r="V57" s="55" t="s">
        <v>23</v>
      </c>
      <c r="W57" s="55" t="s">
        <v>1405</v>
      </c>
      <c r="X57" s="112"/>
    </row>
    <row r="58" spans="2:24" ht="15.75" x14ac:dyDescent="0.25">
      <c r="B58" s="71">
        <v>44252</v>
      </c>
      <c r="C58" s="71" t="str">
        <f>TEXT(VEND[[#This Row],[Fecha de Envío
Cotización]],"mmmm")</f>
        <v>febrero</v>
      </c>
      <c r="D58" s="112" t="s">
        <v>944</v>
      </c>
      <c r="E58" s="92" t="s">
        <v>42</v>
      </c>
      <c r="F58" s="125" t="str">
        <f>IF(VEND[[#This Row],[STATUS]]="PERDIDO","N/A","En espera")</f>
        <v>N/A</v>
      </c>
      <c r="G58" s="125" t="str">
        <f>TEXT(VEND[[#This Row],[Fecha Recibe
O.C]],"mmmm")</f>
        <v>N/A</v>
      </c>
      <c r="H58" s="112">
        <v>22295</v>
      </c>
      <c r="I58" s="112" t="s">
        <v>329</v>
      </c>
      <c r="J58" s="112"/>
      <c r="K58" s="58">
        <v>2</v>
      </c>
      <c r="L58" s="123">
        <v>1492.08</v>
      </c>
      <c r="M58" s="112" t="s">
        <v>51</v>
      </c>
      <c r="N58" s="112">
        <v>21</v>
      </c>
      <c r="O58" s="212" t="str">
        <f>IF(VEND[[#This Row],[STATUS]]="O.C",(VEND[[#This Row],[Fecha Recibe
O.C]]+VEND[[#This Row],[Dias
entrega ]]),"")</f>
        <v/>
      </c>
      <c r="P58" s="212"/>
      <c r="Q58" s="58" t="str">
        <f>IFERROR(VEND[[#This Row],[Fecha de Despacho]]-VEND[[#This Row],[Fecha Estimada de Entrega a  Cliente]],"")</f>
        <v/>
      </c>
      <c r="R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" s="112" t="str">
        <f>IF(VEND[[#This Row],[STATUS]]="O.C","APROBADO",IF(VEND[[#This Row],[STATUS]]="PERDIDO","PERDIDO",IF(VEND[[#This Row],[STATUS]]="EN ESPERA","EN ESPERA")))</f>
        <v>PERDIDO</v>
      </c>
      <c r="T58" s="112" t="str">
        <f>IF(VEND[[#This Row],[STATUS]]="O.C","APROBADO",IF(VEND[[#This Row],[STATUS]]="PERDIDO","PERDIDO",IF(VEND[[#This Row],[STATUS]]="EN ESPERA","EN ESPERA")))</f>
        <v>PERDIDO</v>
      </c>
      <c r="U58" s="55" t="s">
        <v>23</v>
      </c>
      <c r="V58" s="55" t="s">
        <v>23</v>
      </c>
      <c r="W58" s="55" t="s">
        <v>1405</v>
      </c>
      <c r="X58" s="112"/>
    </row>
    <row r="59" spans="2:24" ht="15.75" x14ac:dyDescent="0.25">
      <c r="B59" s="232">
        <v>44252</v>
      </c>
      <c r="C59" s="71" t="str">
        <f>TEXT(VEND[[#This Row],[Fecha de Envío
Cotización]],"mmmm")</f>
        <v>febrero</v>
      </c>
      <c r="D59" s="66" t="s">
        <v>1163</v>
      </c>
      <c r="E59" s="125" t="s">
        <v>83</v>
      </c>
      <c r="F59" s="93">
        <v>44271</v>
      </c>
      <c r="G59" s="93" t="str">
        <f>TEXT(VEND[[#This Row],[Fecha Recibe
O.C]],"mmmm")</f>
        <v>marzo</v>
      </c>
      <c r="H59" s="112" t="s">
        <v>1186</v>
      </c>
      <c r="I59" s="112" t="s">
        <v>1242</v>
      </c>
      <c r="J59" s="112"/>
      <c r="K59" s="58">
        <v>1</v>
      </c>
      <c r="L59" s="123">
        <v>126489.60000000001</v>
      </c>
      <c r="M59" s="112"/>
      <c r="N59" s="112"/>
      <c r="O59" s="212">
        <f>IF(VEND[[#This Row],[STATUS]]="O.C",(VEND[[#This Row],[Fecha Recibe
O.C]]+VEND[[#This Row],[Dias
entrega ]]),"")</f>
        <v>44271</v>
      </c>
      <c r="P59" s="212"/>
      <c r="Q59" s="58">
        <f>IFERROR(VEND[[#This Row],[Fecha de Despacho]]-VEND[[#This Row],[Fecha Estimada de Entrega a  Cliente]],"")</f>
        <v>-44271</v>
      </c>
      <c r="R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" s="112" t="str">
        <f>IF(VEND[[#This Row],[STATUS]]="O.C","APROBADO",IF(VEND[[#This Row],[STATUS]]="PERDIDO","PERDIDO",IF(VEND[[#This Row],[STATUS]]="EN ESPERA","EN ESPERA")))</f>
        <v>APROBADO</v>
      </c>
      <c r="T59" s="112" t="str">
        <f>IF(VEND[[#This Row],[STATUS]]="O.C","APROBADO",IF(VEND[[#This Row],[STATUS]]="PERDIDO","PERDIDO",IF(VEND[[#This Row],[STATUS]]="EN ESPERA","EN ESPERA")))</f>
        <v>APROBADO</v>
      </c>
      <c r="U59" s="55" t="s">
        <v>46</v>
      </c>
      <c r="V59" s="55" t="s">
        <v>46</v>
      </c>
      <c r="W59" s="55" t="s">
        <v>1401</v>
      </c>
      <c r="X59" s="112">
        <v>892</v>
      </c>
    </row>
    <row r="60" spans="2:24" ht="15.75" x14ac:dyDescent="0.25">
      <c r="B60" s="71">
        <v>44253</v>
      </c>
      <c r="C60" s="71" t="str">
        <f>TEXT(VEND[[#This Row],[Fecha de Envío
Cotización]],"mmmm")</f>
        <v>febrero</v>
      </c>
      <c r="D60" s="112" t="s">
        <v>68</v>
      </c>
      <c r="E60" s="125" t="s">
        <v>83</v>
      </c>
      <c r="F60" s="92">
        <v>44258</v>
      </c>
      <c r="G60" s="125" t="str">
        <f>TEXT(VEND[[#This Row],[Fecha Recibe
O.C]],"mmmm")</f>
        <v>marzo</v>
      </c>
      <c r="H60" s="112">
        <v>20160</v>
      </c>
      <c r="I60" s="112" t="s">
        <v>96</v>
      </c>
      <c r="J60" s="112" t="s">
        <v>71</v>
      </c>
      <c r="K60" s="58">
        <v>5</v>
      </c>
      <c r="L60" s="123">
        <v>4896.55</v>
      </c>
      <c r="M60" s="55" t="s">
        <v>73</v>
      </c>
      <c r="N60" s="112">
        <v>14</v>
      </c>
      <c r="O60" s="212">
        <f>IF(VEND[[#This Row],[STATUS]]="O.C",(VEND[[#This Row],[Fecha Recibe
O.C]]+VEND[[#This Row],[Dias
entrega ]]),"")</f>
        <v>44272</v>
      </c>
      <c r="P60" s="212"/>
      <c r="Q60" s="58">
        <f>IFERROR(VEND[[#This Row],[Fecha de Despacho]]-VEND[[#This Row],[Fecha Estimada de Entrega a  Cliente]],"")</f>
        <v>-44272</v>
      </c>
      <c r="R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" s="112" t="str">
        <f>IF(VEND[[#This Row],[STATUS]]="O.C","APROBADO",IF(VEND[[#This Row],[STATUS]]="PERDIDO","PERDIDO",IF(VEND[[#This Row],[STATUS]]="EN ESPERA","EN ESPERA")))</f>
        <v>APROBADO</v>
      </c>
      <c r="T60" s="112" t="str">
        <f>IF(VEND[[#This Row],[STATUS]]="O.C","APROBADO",IF(VEND[[#This Row],[STATUS]]="PERDIDO","PERDIDO",IF(VEND[[#This Row],[STATUS]]="EN ESPERA","EN ESPERA")))</f>
        <v>APROBADO</v>
      </c>
      <c r="U60" s="55" t="s">
        <v>46</v>
      </c>
      <c r="V60" s="55" t="s">
        <v>46</v>
      </c>
      <c r="W60" s="55" t="s">
        <v>1402</v>
      </c>
      <c r="X60" s="112"/>
    </row>
    <row r="61" spans="2:24" ht="15.75" x14ac:dyDescent="0.25">
      <c r="B61" s="71">
        <v>44256</v>
      </c>
      <c r="C61" s="71" t="str">
        <f>TEXT(VEND[[#This Row],[Fecha de Envío
Cotización]],"mmmm")</f>
        <v>marzo</v>
      </c>
      <c r="D61" s="112" t="s">
        <v>945</v>
      </c>
      <c r="E61" s="125" t="s">
        <v>83</v>
      </c>
      <c r="F61" s="125">
        <v>44258</v>
      </c>
      <c r="G61" s="125" t="str">
        <f>TEXT(VEND[[#This Row],[Fecha Recibe
O.C]],"mmmm")</f>
        <v>marzo</v>
      </c>
      <c r="H61" s="112">
        <v>20019</v>
      </c>
      <c r="I61" s="112" t="s">
        <v>14</v>
      </c>
      <c r="J61" s="112" t="s">
        <v>18</v>
      </c>
      <c r="K61" s="58">
        <v>1</v>
      </c>
      <c r="L61" s="123">
        <v>1512</v>
      </c>
      <c r="M61" s="55" t="s">
        <v>15</v>
      </c>
      <c r="N61" s="112">
        <v>14</v>
      </c>
      <c r="O61" s="212">
        <f>IF(VEND[[#This Row],[STATUS]]="O.C",(VEND[[#This Row],[Fecha Recibe
O.C]]+VEND[[#This Row],[Dias
entrega ]]),"")</f>
        <v>44272</v>
      </c>
      <c r="P61" s="212">
        <v>44294</v>
      </c>
      <c r="Q61" s="58">
        <f>IFERROR(VEND[[#This Row],[Fecha de Despacho]]-VEND[[#This Row],[Fecha Estimada de Entrega a  Cliente]],"")</f>
        <v>22</v>
      </c>
      <c r="R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61" s="112" t="str">
        <f>IF(VEND[[#This Row],[STATUS]]="O.C","APROBADO",IF(VEND[[#This Row],[STATUS]]="PERDIDO","PERDIDO",IF(VEND[[#This Row],[STATUS]]="EN ESPERA","EN ESPERA")))</f>
        <v>APROBADO</v>
      </c>
      <c r="T61" s="112" t="str">
        <f>IF(VEND[[#This Row],[STATUS]]="O.C","APROBADO",IF(VEND[[#This Row],[STATUS]]="PERDIDO","PERDIDO",IF(VEND[[#This Row],[STATUS]]="EN ESPERA","EN ESPERA")))</f>
        <v>APROBADO</v>
      </c>
      <c r="U61" s="55" t="s">
        <v>45</v>
      </c>
      <c r="V61" s="55" t="s">
        <v>47</v>
      </c>
      <c r="W61" s="55" t="s">
        <v>1402</v>
      </c>
      <c r="X61" s="112"/>
    </row>
    <row r="62" spans="2:24" ht="15.75" x14ac:dyDescent="0.25">
      <c r="B62" s="71">
        <v>44257</v>
      </c>
      <c r="C62" s="71" t="str">
        <f>TEXT(VEND[[#This Row],[Fecha de Envío
Cotización]],"mmmm")</f>
        <v>marzo</v>
      </c>
      <c r="D62" s="112" t="s">
        <v>68</v>
      </c>
      <c r="E62" s="125" t="s">
        <v>42</v>
      </c>
      <c r="F62" s="92" t="str">
        <f>IF(VEND[[#This Row],[STATUS]]="PERDIDO","N/A","En espera")</f>
        <v>N/A</v>
      </c>
      <c r="G62" s="125" t="str">
        <f>TEXT(VEND[[#This Row],[Fecha Recibe
O.C]],"mmmm")</f>
        <v>N/A</v>
      </c>
      <c r="H62" s="112">
        <v>20524</v>
      </c>
      <c r="I62" s="112" t="s">
        <v>53</v>
      </c>
      <c r="J62" s="112"/>
      <c r="K62" s="58">
        <v>6</v>
      </c>
      <c r="L62" s="123">
        <v>1980.15</v>
      </c>
      <c r="M62" s="112" t="s">
        <v>15</v>
      </c>
      <c r="N62" s="112">
        <v>14</v>
      </c>
      <c r="O62" s="212" t="str">
        <f>IF(VEND[[#This Row],[STATUS]]="O.C",(VEND[[#This Row],[Fecha Recibe
O.C]]+VEND[[#This Row],[Dias
entrega ]]),"")</f>
        <v/>
      </c>
      <c r="P62" s="212"/>
      <c r="Q62" s="58" t="str">
        <f>IFERROR(VEND[[#This Row],[Fecha de Despacho]]-VEND[[#This Row],[Fecha Estimada de Entrega a  Cliente]],"")</f>
        <v/>
      </c>
      <c r="R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" s="112" t="str">
        <f>IF(VEND[[#This Row],[STATUS]]="O.C","APROBADO",IF(VEND[[#This Row],[STATUS]]="PERDIDO","PERDIDO",IF(VEND[[#This Row],[STATUS]]="EN ESPERA","EN ESPERA")))</f>
        <v>PERDIDO</v>
      </c>
      <c r="T62" s="112" t="str">
        <f>IF(VEND[[#This Row],[STATUS]]="O.C","APROBADO",IF(VEND[[#This Row],[STATUS]]="PERDIDO","PERDIDO",IF(VEND[[#This Row],[STATUS]]="EN ESPERA","EN ESPERA")))</f>
        <v>PERDIDO</v>
      </c>
      <c r="U62" s="55" t="s">
        <v>23</v>
      </c>
      <c r="V62" s="55" t="s">
        <v>23</v>
      </c>
      <c r="W62" s="55" t="s">
        <v>1407</v>
      </c>
      <c r="X62" s="67" t="s">
        <v>48</v>
      </c>
    </row>
    <row r="63" spans="2:24" ht="15.75" x14ac:dyDescent="0.25">
      <c r="B63" s="71">
        <v>44258</v>
      </c>
      <c r="C63" s="71" t="str">
        <f>TEXT(VEND[[#This Row],[Fecha de Envío
Cotización]],"mmmm")</f>
        <v>marzo</v>
      </c>
      <c r="D63" s="112" t="s">
        <v>944</v>
      </c>
      <c r="E63" s="125" t="s">
        <v>83</v>
      </c>
      <c r="F63" s="92">
        <v>44258</v>
      </c>
      <c r="G63" s="125" t="str">
        <f>TEXT(VEND[[#This Row],[Fecha Recibe
O.C]],"mmmm")</f>
        <v>marzo</v>
      </c>
      <c r="H63" s="112">
        <v>2486</v>
      </c>
      <c r="I63" s="112" t="s">
        <v>89</v>
      </c>
      <c r="J63" s="112"/>
      <c r="K63" s="58">
        <v>1</v>
      </c>
      <c r="L63" s="123">
        <v>270</v>
      </c>
      <c r="M63" s="112" t="s">
        <v>22</v>
      </c>
      <c r="N63" s="112">
        <v>0</v>
      </c>
      <c r="O63" s="212">
        <f>IF(VEND[[#This Row],[STATUS]]="O.C",(VEND[[#This Row],[Fecha Recibe
O.C]]+VEND[[#This Row],[Dias
entrega ]]),"")</f>
        <v>44258</v>
      </c>
      <c r="P63" s="212"/>
      <c r="Q63" s="58">
        <f>IFERROR(VEND[[#This Row],[Fecha de Despacho]]-VEND[[#This Row],[Fecha Estimada de Entrega a  Cliente]],"")</f>
        <v>-44258</v>
      </c>
      <c r="R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" s="112" t="str">
        <f>IF(VEND[[#This Row],[STATUS]]="O.C","APROBADO",IF(VEND[[#This Row],[STATUS]]="PERDIDO","PERDIDO",IF(VEND[[#This Row],[STATUS]]="EN ESPERA","EN ESPERA")))</f>
        <v>APROBADO</v>
      </c>
      <c r="T63" s="112" t="str">
        <f>IF(VEND[[#This Row],[STATUS]]="O.C","APROBADO",IF(VEND[[#This Row],[STATUS]]="PERDIDO","PERDIDO",IF(VEND[[#This Row],[STATUS]]="EN ESPERA","EN ESPERA")))</f>
        <v>APROBADO</v>
      </c>
      <c r="U63" s="55" t="s">
        <v>45</v>
      </c>
      <c r="V63" s="55" t="s">
        <v>47</v>
      </c>
      <c r="W63" s="55"/>
      <c r="X63" s="112"/>
    </row>
    <row r="64" spans="2:24" ht="15.75" x14ac:dyDescent="0.25">
      <c r="B64" s="71">
        <v>44258</v>
      </c>
      <c r="C64" s="71" t="str">
        <f>TEXT(VEND[[#This Row],[Fecha de Envío
Cotización]],"mmmm")</f>
        <v>marzo</v>
      </c>
      <c r="D64" s="112" t="s">
        <v>945</v>
      </c>
      <c r="E64" s="125" t="s">
        <v>83</v>
      </c>
      <c r="F64" s="92">
        <v>44259</v>
      </c>
      <c r="G64" s="125" t="str">
        <f>TEXT(VEND[[#This Row],[Fecha Recibe
O.C]],"mmmm")</f>
        <v>marzo</v>
      </c>
      <c r="H64" s="112">
        <v>20020</v>
      </c>
      <c r="I64" s="55" t="s">
        <v>14</v>
      </c>
      <c r="J64" s="112" t="s">
        <v>19</v>
      </c>
      <c r="K64" s="58">
        <v>3</v>
      </c>
      <c r="L64" s="123">
        <v>260</v>
      </c>
      <c r="M64" s="112" t="s">
        <v>22</v>
      </c>
      <c r="N64" s="112">
        <v>0</v>
      </c>
      <c r="O64" s="212">
        <f>IF(VEND[[#This Row],[STATUS]]="O.C",(VEND[[#This Row],[Fecha Recibe
O.C]]+VEND[[#This Row],[Dias
entrega ]]),"")</f>
        <v>44259</v>
      </c>
      <c r="P64" s="212">
        <v>44267</v>
      </c>
      <c r="Q64" s="58">
        <f>IFERROR(VEND[[#This Row],[Fecha de Despacho]]-VEND[[#This Row],[Fecha Estimada de Entrega a  Cliente]],"")</f>
        <v>8</v>
      </c>
      <c r="R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64" s="112" t="str">
        <f>IF(VEND[[#This Row],[STATUS]]="O.C","APROBADO",IF(VEND[[#This Row],[STATUS]]="PERDIDO","PERDIDO",IF(VEND[[#This Row],[STATUS]]="EN ESPERA","EN ESPERA")))</f>
        <v>APROBADO</v>
      </c>
      <c r="T64" s="112" t="str">
        <f>IF(VEND[[#This Row],[STATUS]]="O.C","APROBADO",IF(VEND[[#This Row],[STATUS]]="PERDIDO","PERDIDO",IF(VEND[[#This Row],[STATUS]]="EN ESPERA","EN ESPERA")))</f>
        <v>APROBADO</v>
      </c>
      <c r="U64" s="55" t="s">
        <v>45</v>
      </c>
      <c r="V64" s="55" t="s">
        <v>47</v>
      </c>
      <c r="W64" s="112" t="s">
        <v>1402</v>
      </c>
      <c r="X64" s="112" t="s">
        <v>93</v>
      </c>
    </row>
    <row r="65" spans="2:24" ht="15.75" x14ac:dyDescent="0.25">
      <c r="B65" s="71">
        <v>44258</v>
      </c>
      <c r="C65" s="71" t="str">
        <f>TEXT(VEND[[#This Row],[Fecha de Envío
Cotización]],"mmmm")</f>
        <v>marzo</v>
      </c>
      <c r="D65" s="112" t="s">
        <v>945</v>
      </c>
      <c r="E65" s="125" t="s">
        <v>42</v>
      </c>
      <c r="F65" s="92" t="str">
        <f>IF(VEND[[#This Row],[STATUS]]="PERDIDO","N/A","En espera")</f>
        <v>N/A</v>
      </c>
      <c r="G65" s="125" t="str">
        <f>TEXT(VEND[[#This Row],[Fecha Recibe
O.C]],"mmmm")</f>
        <v>N/A</v>
      </c>
      <c r="H65" s="112">
        <v>20020</v>
      </c>
      <c r="I65" s="55" t="s">
        <v>14</v>
      </c>
      <c r="J65" s="112"/>
      <c r="K65" s="58">
        <v>2</v>
      </c>
      <c r="L65" s="123">
        <v>3010</v>
      </c>
      <c r="M65" s="112" t="s">
        <v>15</v>
      </c>
      <c r="N65" s="112">
        <v>14</v>
      </c>
      <c r="O65" s="212" t="str">
        <f>IF(VEND[[#This Row],[STATUS]]="O.C",(VEND[[#This Row],[Fecha Recibe
O.C]]+VEND[[#This Row],[Dias
entrega ]]),"")</f>
        <v/>
      </c>
      <c r="P65" s="212"/>
      <c r="Q65" s="58" t="str">
        <f>IFERROR(VEND[[#This Row],[Fecha de Despacho]]-VEND[[#This Row],[Fecha Estimada de Entrega a  Cliente]],"")</f>
        <v/>
      </c>
      <c r="R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" s="112" t="str">
        <f>IF(VEND[[#This Row],[STATUS]]="O.C","APROBADO",IF(VEND[[#This Row],[STATUS]]="PERDIDO","PERDIDO",IF(VEND[[#This Row],[STATUS]]="EN ESPERA","EN ESPERA")))</f>
        <v>PERDIDO</v>
      </c>
      <c r="T65" s="112" t="str">
        <f>IF(VEND[[#This Row],[STATUS]]="O.C","APROBADO",IF(VEND[[#This Row],[STATUS]]="PERDIDO","PERDIDO",IF(VEND[[#This Row],[STATUS]]="EN ESPERA","EN ESPERA")))</f>
        <v>PERDIDO</v>
      </c>
      <c r="U65" s="55" t="s">
        <v>23</v>
      </c>
      <c r="V65" s="55" t="s">
        <v>23</v>
      </c>
      <c r="W65" s="112" t="s">
        <v>1402</v>
      </c>
      <c r="X65" s="112" t="s">
        <v>43</v>
      </c>
    </row>
    <row r="66" spans="2:24" ht="15.75" x14ac:dyDescent="0.25">
      <c r="B66" s="71">
        <v>44258</v>
      </c>
      <c r="C66" s="71" t="str">
        <f>TEXT(VEND[[#This Row],[Fecha de Envío
Cotización]],"mmmm")</f>
        <v>marzo</v>
      </c>
      <c r="D66" s="112" t="s">
        <v>945</v>
      </c>
      <c r="E66" s="125" t="s">
        <v>42</v>
      </c>
      <c r="F66" s="92" t="str">
        <f>IF(VEND[[#This Row],[STATUS]]="PERDIDO","N/A","En espera")</f>
        <v>N/A</v>
      </c>
      <c r="G66" s="125" t="str">
        <f>TEXT(VEND[[#This Row],[Fecha Recibe
O.C]],"mmmm")</f>
        <v>N/A</v>
      </c>
      <c r="H66" s="112">
        <v>20021</v>
      </c>
      <c r="I66" s="55" t="s">
        <v>13</v>
      </c>
      <c r="J66" s="112" t="s">
        <v>20</v>
      </c>
      <c r="K66" s="58">
        <v>1</v>
      </c>
      <c r="L66" s="123">
        <v>1770</v>
      </c>
      <c r="M66" s="112" t="s">
        <v>16</v>
      </c>
      <c r="N66" s="112">
        <v>21</v>
      </c>
      <c r="O66" s="212" t="str">
        <f>IF(VEND[[#This Row],[STATUS]]="O.C",(VEND[[#This Row],[Fecha Recibe
O.C]]+VEND[[#This Row],[Dias
entrega ]]),"")</f>
        <v/>
      </c>
      <c r="P66" s="212" t="s">
        <v>24</v>
      </c>
      <c r="Q66" s="58" t="str">
        <f>IFERROR(VEND[[#This Row],[Fecha de Despacho]]-VEND[[#This Row],[Fecha Estimada de Entrega a  Cliente]],"")</f>
        <v/>
      </c>
      <c r="R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66" s="112" t="str">
        <f>IF(VEND[[#This Row],[STATUS]]="O.C","APROBADO",IF(VEND[[#This Row],[STATUS]]="PERDIDO","PERDIDO",IF(VEND[[#This Row],[STATUS]]="EN ESPERA","EN ESPERA")))</f>
        <v>PERDIDO</v>
      </c>
      <c r="T66" s="112" t="str">
        <f>IF(VEND[[#This Row],[STATUS]]="O.C","APROBADO",IF(VEND[[#This Row],[STATUS]]="PERDIDO","PERDIDO",IF(VEND[[#This Row],[STATUS]]="EN ESPERA","EN ESPERA")))</f>
        <v>PERDIDO</v>
      </c>
      <c r="U66" s="55" t="s">
        <v>23</v>
      </c>
      <c r="V66" s="55" t="s">
        <v>23</v>
      </c>
      <c r="W66" s="59" t="s">
        <v>1405</v>
      </c>
      <c r="X66" s="112" t="s">
        <v>48</v>
      </c>
    </row>
    <row r="67" spans="2:24" ht="15.75" x14ac:dyDescent="0.25">
      <c r="B67" s="71">
        <v>44258</v>
      </c>
      <c r="C67" s="71" t="str">
        <f>TEXT(VEND[[#This Row],[Fecha de Envío
Cotización]],"mmmm")</f>
        <v>marzo</v>
      </c>
      <c r="D67" s="112" t="s">
        <v>50</v>
      </c>
      <c r="E67" s="125" t="s">
        <v>42</v>
      </c>
      <c r="F67" s="92" t="str">
        <f>IF(VEND[[#This Row],[STATUS]]="PERDIDO","N/A","En espera")</f>
        <v>N/A</v>
      </c>
      <c r="G67" s="125" t="str">
        <f>TEXT(VEND[[#This Row],[Fecha Recibe
O.C]],"mmmm")</f>
        <v>N/A</v>
      </c>
      <c r="H67" s="112">
        <v>20116</v>
      </c>
      <c r="I67" s="55" t="s">
        <v>33</v>
      </c>
      <c r="J67" s="112"/>
      <c r="K67" s="58">
        <v>2</v>
      </c>
      <c r="L67" s="123">
        <v>2649.66</v>
      </c>
      <c r="M67" s="112" t="s">
        <v>16</v>
      </c>
      <c r="N67" s="112">
        <v>21</v>
      </c>
      <c r="O67" s="212" t="str">
        <f>IF(VEND[[#This Row],[STATUS]]="O.C",(VEND[[#This Row],[Fecha Recibe
O.C]]+VEND[[#This Row],[Dias
entrega ]]),"")</f>
        <v/>
      </c>
      <c r="P67" s="212"/>
      <c r="Q67" s="58" t="str">
        <f>IFERROR(VEND[[#This Row],[Fecha de Despacho]]-VEND[[#This Row],[Fecha Estimada de Entrega a  Cliente]],"")</f>
        <v/>
      </c>
      <c r="R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" s="112" t="str">
        <f>IF(VEND[[#This Row],[STATUS]]="O.C","APROBADO",IF(VEND[[#This Row],[STATUS]]="PERDIDO","PERDIDO",IF(VEND[[#This Row],[STATUS]]="EN ESPERA","EN ESPERA")))</f>
        <v>PERDIDO</v>
      </c>
      <c r="T67" s="112" t="str">
        <f>IF(VEND[[#This Row],[STATUS]]="O.C","APROBADO",IF(VEND[[#This Row],[STATUS]]="PERDIDO","PERDIDO",IF(VEND[[#This Row],[STATUS]]="EN ESPERA","EN ESPERA")))</f>
        <v>PERDIDO</v>
      </c>
      <c r="U67" s="55" t="s">
        <v>23</v>
      </c>
      <c r="V67" s="55" t="s">
        <v>23</v>
      </c>
      <c r="W67" s="59" t="s">
        <v>1402</v>
      </c>
      <c r="X67" s="112"/>
    </row>
    <row r="68" spans="2:24" ht="15.75" x14ac:dyDescent="0.25">
      <c r="B68" s="71">
        <v>44258</v>
      </c>
      <c r="C68" s="71" t="str">
        <f>TEXT(VEND[[#This Row],[Fecha de Envío
Cotización]],"mmmm")</f>
        <v>marzo</v>
      </c>
      <c r="D68" s="112" t="s">
        <v>50</v>
      </c>
      <c r="E68" s="125" t="s">
        <v>42</v>
      </c>
      <c r="F68" s="92" t="str">
        <f>IF(VEND[[#This Row],[STATUS]]="PERDIDO","N/A","En espera")</f>
        <v>N/A</v>
      </c>
      <c r="G68" s="125" t="str">
        <f>TEXT(VEND[[#This Row],[Fecha Recibe
O.C]],"mmmm")</f>
        <v>N/A</v>
      </c>
      <c r="H68" s="112">
        <v>20117</v>
      </c>
      <c r="I68" s="55" t="s">
        <v>54</v>
      </c>
      <c r="J68" s="112"/>
      <c r="K68" s="58">
        <v>1</v>
      </c>
      <c r="L68" s="123">
        <v>870</v>
      </c>
      <c r="M68" s="55" t="s">
        <v>22</v>
      </c>
      <c r="N68" s="112">
        <v>0</v>
      </c>
      <c r="O68" s="212" t="str">
        <f>IF(VEND[[#This Row],[STATUS]]="O.C",(VEND[[#This Row],[Fecha Recibe
O.C]]+VEND[[#This Row],[Dias
entrega ]]),"")</f>
        <v/>
      </c>
      <c r="P68" s="212"/>
      <c r="Q68" s="58" t="str">
        <f>IFERROR(VEND[[#This Row],[Fecha de Despacho]]-VEND[[#This Row],[Fecha Estimada de Entrega a  Cliente]],"")</f>
        <v/>
      </c>
      <c r="R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" s="112" t="str">
        <f>IF(VEND[[#This Row],[STATUS]]="O.C","APROBADO",IF(VEND[[#This Row],[STATUS]]="PERDIDO","PERDIDO",IF(VEND[[#This Row],[STATUS]]="EN ESPERA","EN ESPERA")))</f>
        <v>PERDIDO</v>
      </c>
      <c r="T68" s="112" t="str">
        <f>IF(VEND[[#This Row],[STATUS]]="O.C","APROBADO",IF(VEND[[#This Row],[STATUS]]="PERDIDO","PERDIDO",IF(VEND[[#This Row],[STATUS]]="EN ESPERA","EN ESPERA")))</f>
        <v>PERDIDO</v>
      </c>
      <c r="U68" s="55" t="s">
        <v>23</v>
      </c>
      <c r="V68" s="55" t="s">
        <v>23</v>
      </c>
      <c r="W68" s="55" t="s">
        <v>1401</v>
      </c>
      <c r="X68" s="112" t="s">
        <v>43</v>
      </c>
    </row>
    <row r="69" spans="2:24" ht="15.75" x14ac:dyDescent="0.25">
      <c r="B69" s="71">
        <v>44258</v>
      </c>
      <c r="C69" s="71" t="str">
        <f>TEXT(VEND[[#This Row],[Fecha de Envío
Cotización]],"mmmm")</f>
        <v>marzo</v>
      </c>
      <c r="D69" s="112" t="s">
        <v>944</v>
      </c>
      <c r="E69" s="125" t="s">
        <v>42</v>
      </c>
      <c r="F69" s="92" t="str">
        <f>IF(VEND[[#This Row],[STATUS]]="PERDIDO","N/A","En espera")</f>
        <v>N/A</v>
      </c>
      <c r="G69" s="125" t="str">
        <f>TEXT(VEND[[#This Row],[Fecha Recibe
O.C]],"mmmm")</f>
        <v>N/A</v>
      </c>
      <c r="H69" s="112">
        <v>24538</v>
      </c>
      <c r="I69" s="55" t="s">
        <v>26</v>
      </c>
      <c r="J69" s="112"/>
      <c r="K69" s="58">
        <v>1</v>
      </c>
      <c r="L69" s="123">
        <v>412.5</v>
      </c>
      <c r="M69" s="112" t="s">
        <v>15</v>
      </c>
      <c r="N69" s="112">
        <v>14</v>
      </c>
      <c r="O69" s="212" t="str">
        <f>IF(VEND[[#This Row],[STATUS]]="O.C",(VEND[[#This Row],[Fecha Recibe
O.C]]+VEND[[#This Row],[Dias
entrega ]]),"")</f>
        <v/>
      </c>
      <c r="P69" s="212"/>
      <c r="Q69" s="58" t="str">
        <f>IFERROR(VEND[[#This Row],[Fecha de Despacho]]-VEND[[#This Row],[Fecha Estimada de Entrega a  Cliente]],"")</f>
        <v/>
      </c>
      <c r="R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" s="112" t="str">
        <f>IF(VEND[[#This Row],[STATUS]]="O.C","APROBADO",IF(VEND[[#This Row],[STATUS]]="PERDIDO","PERDIDO",IF(VEND[[#This Row],[STATUS]]="EN ESPERA","EN ESPERA")))</f>
        <v>PERDIDO</v>
      </c>
      <c r="T69" s="112" t="str">
        <f>IF(VEND[[#This Row],[STATUS]]="O.C","APROBADO",IF(VEND[[#This Row],[STATUS]]="PERDIDO","PERDIDO",IF(VEND[[#This Row],[STATUS]]="EN ESPERA","EN ESPERA")))</f>
        <v>PERDIDO</v>
      </c>
      <c r="U69" s="55" t="s">
        <v>23</v>
      </c>
      <c r="V69" s="55" t="s">
        <v>23</v>
      </c>
      <c r="W69" s="55" t="s">
        <v>1402</v>
      </c>
      <c r="X69" s="112"/>
    </row>
    <row r="70" spans="2:24" ht="15.75" x14ac:dyDescent="0.25">
      <c r="B70" s="71">
        <v>44258</v>
      </c>
      <c r="C70" s="71" t="str">
        <f>TEXT(VEND[[#This Row],[Fecha de Envío
Cotización]],"mmmm")</f>
        <v>marzo</v>
      </c>
      <c r="D70" s="68" t="s">
        <v>944</v>
      </c>
      <c r="E70" s="125" t="s">
        <v>42</v>
      </c>
      <c r="F70" s="92" t="str">
        <f>IF(VEND[[#This Row],[STATUS]]="PERDIDO","N/A","En espera")</f>
        <v>N/A</v>
      </c>
      <c r="G70" s="125" t="str">
        <f>TEXT(VEND[[#This Row],[Fecha Recibe
O.C]],"mmmm")</f>
        <v>N/A</v>
      </c>
      <c r="H70" s="112">
        <v>25538</v>
      </c>
      <c r="I70" s="112" t="s">
        <v>28</v>
      </c>
      <c r="J70" s="112"/>
      <c r="K70" s="58">
        <v>2</v>
      </c>
      <c r="L70" s="123">
        <v>2921</v>
      </c>
      <c r="M70" s="67" t="s">
        <v>15</v>
      </c>
      <c r="N70" s="67">
        <v>14</v>
      </c>
      <c r="O70" s="212" t="str">
        <f>IF(VEND[[#This Row],[STATUS]]="O.C",(VEND[[#This Row],[Fecha Recibe
O.C]]+VEND[[#This Row],[Dias
entrega ]]),"")</f>
        <v/>
      </c>
      <c r="P70" s="71"/>
      <c r="Q70" s="67" t="str">
        <f>IFERROR(VEND[[#This Row],[Fecha de Despacho]]-VEND[[#This Row],[Fecha Estimada de Entrega a  Cliente]],"")</f>
        <v/>
      </c>
      <c r="R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" s="112" t="str">
        <f>IF(VEND[[#This Row],[STATUS]]="O.C","APROBADO",IF(VEND[[#This Row],[STATUS]]="PERDIDO","PERDIDO",IF(VEND[[#This Row],[STATUS]]="EN ESPERA","EN ESPERA")))</f>
        <v>PERDIDO</v>
      </c>
      <c r="T70" s="112" t="str">
        <f>IF(VEND[[#This Row],[STATUS]]="O.C","APROBADO",IF(VEND[[#This Row],[STATUS]]="PERDIDO","PERDIDO",IF(VEND[[#This Row],[STATUS]]="EN ESPERA","EN ESPERA")))</f>
        <v>PERDIDO</v>
      </c>
      <c r="U70" s="55" t="s">
        <v>23</v>
      </c>
      <c r="V70" s="55" t="s">
        <v>23</v>
      </c>
      <c r="W70" s="55" t="s">
        <v>1401</v>
      </c>
      <c r="X70" s="67"/>
    </row>
    <row r="71" spans="2:24" s="16" customFormat="1" ht="15.75" x14ac:dyDescent="0.25">
      <c r="B71" s="71">
        <v>44258</v>
      </c>
      <c r="C71" s="71" t="str">
        <f>TEXT(VEND[[#This Row],[Fecha de Envío
Cotización]],"mmmm")</f>
        <v>marzo</v>
      </c>
      <c r="D71" s="112" t="s">
        <v>944</v>
      </c>
      <c r="E71" s="125" t="s">
        <v>42</v>
      </c>
      <c r="F71" s="125" t="str">
        <f>IF(VEND[[#This Row],[STATUS]]="PERDIDO","N/A","En espera")</f>
        <v>N/A</v>
      </c>
      <c r="G71" s="125" t="str">
        <f>TEXT(VEND[[#This Row],[Fecha Recibe
O.C]],"mmmm")</f>
        <v>N/A</v>
      </c>
      <c r="H71" s="112">
        <v>26538</v>
      </c>
      <c r="I71" s="112" t="s">
        <v>29</v>
      </c>
      <c r="J71" s="112"/>
      <c r="K71" s="58">
        <v>4</v>
      </c>
      <c r="L71" s="123">
        <v>3990.57</v>
      </c>
      <c r="M71" s="112" t="s">
        <v>69</v>
      </c>
      <c r="N71" s="112">
        <v>7</v>
      </c>
      <c r="O71" s="212" t="str">
        <f>IF(VEND[[#This Row],[STATUS]]="O.C",(VEND[[#This Row],[Fecha Recibe
O.C]]+VEND[[#This Row],[Dias
entrega ]]),"")</f>
        <v/>
      </c>
      <c r="P71" s="212"/>
      <c r="Q71" s="58" t="str">
        <f>IFERROR(VEND[[#This Row],[Fecha de Despacho]]-VEND[[#This Row],[Fecha Estimada de Entrega a  Cliente]],"")</f>
        <v/>
      </c>
      <c r="R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" s="112" t="str">
        <f>IF(VEND[[#This Row],[STATUS]]="O.C","APROBADO",IF(VEND[[#This Row],[STATUS]]="PERDIDO","PERDIDO",IF(VEND[[#This Row],[STATUS]]="EN ESPERA","EN ESPERA")))</f>
        <v>PERDIDO</v>
      </c>
      <c r="T71" s="112" t="str">
        <f>IF(VEND[[#This Row],[STATUS]]="O.C","APROBADO",IF(VEND[[#This Row],[STATUS]]="PERDIDO","PERDIDO",IF(VEND[[#This Row],[STATUS]]="EN ESPERA","EN ESPERA")))</f>
        <v>PERDIDO</v>
      </c>
      <c r="U71" s="112" t="s">
        <v>23</v>
      </c>
      <c r="V71" s="112" t="s">
        <v>23</v>
      </c>
      <c r="W71" s="55" t="s">
        <v>1402</v>
      </c>
      <c r="X71" s="112"/>
    </row>
    <row r="72" spans="2:24" ht="15.75" x14ac:dyDescent="0.25">
      <c r="B72" s="233">
        <v>44259</v>
      </c>
      <c r="C72" s="48" t="str">
        <f>TEXT(VEND[[#This Row],[Fecha de Envío
Cotización]],"mmmm")</f>
        <v>marzo</v>
      </c>
      <c r="D72" s="7" t="s">
        <v>1163</v>
      </c>
      <c r="E72" s="97" t="s">
        <v>83</v>
      </c>
      <c r="F72" s="94">
        <v>44275</v>
      </c>
      <c r="G72" s="94" t="str">
        <f>TEXT(VEND[[#This Row],[Fecha Recibe
O.C]],"mmmm")</f>
        <v>marzo</v>
      </c>
      <c r="H72" s="112" t="s">
        <v>1187</v>
      </c>
      <c r="I72" s="238" t="s">
        <v>1241</v>
      </c>
      <c r="J72" s="238"/>
      <c r="K72" s="62">
        <v>21</v>
      </c>
      <c r="L72" s="123">
        <v>262.88</v>
      </c>
      <c r="M72" s="238"/>
      <c r="N72" s="238"/>
      <c r="O72" s="213">
        <f>IF(VEND[[#This Row],[STATUS]]="O.C",(VEND[[#This Row],[Fecha Recibe
O.C]]+VEND[[#This Row],[Dias
entrega ]]),"")</f>
        <v>44275</v>
      </c>
      <c r="P72" s="213"/>
      <c r="Q72" s="62">
        <f>IFERROR(VEND[[#This Row],[Fecha de Despacho]]-VEND[[#This Row],[Fecha Estimada de Entrega a  Cliente]],"")</f>
        <v>-44275</v>
      </c>
      <c r="R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" s="238" t="str">
        <f>IF(VEND[[#This Row],[STATUS]]="O.C","APROBADO",IF(VEND[[#This Row],[STATUS]]="PERDIDO","PERDIDO",IF(VEND[[#This Row],[STATUS]]="EN ESPERA","EN ESPERA")))</f>
        <v>APROBADO</v>
      </c>
      <c r="T72" s="238" t="str">
        <f>IF(VEND[[#This Row],[STATUS]]="O.C","APROBADO",IF(VEND[[#This Row],[STATUS]]="PERDIDO","PERDIDO",IF(VEND[[#This Row],[STATUS]]="EN ESPERA","EN ESPERA")))</f>
        <v>APROBADO</v>
      </c>
      <c r="U72" s="238" t="s">
        <v>45</v>
      </c>
      <c r="V72" s="238" t="s">
        <v>47</v>
      </c>
      <c r="W72" s="55" t="s">
        <v>1409</v>
      </c>
      <c r="X72" s="63" t="s">
        <v>1510</v>
      </c>
    </row>
    <row r="73" spans="2:24" ht="15.75" x14ac:dyDescent="0.25">
      <c r="B73" s="232">
        <v>44259</v>
      </c>
      <c r="C73" s="71" t="str">
        <f>TEXT(VEND[[#This Row],[Fecha de Envío
Cotización]],"mmmm")</f>
        <v>marzo</v>
      </c>
      <c r="D73" s="66" t="s">
        <v>1163</v>
      </c>
      <c r="E73" s="125" t="s">
        <v>83</v>
      </c>
      <c r="F73" s="93">
        <v>44277</v>
      </c>
      <c r="G73" s="93" t="str">
        <f>TEXT(VEND[[#This Row],[Fecha Recibe
O.C]],"mmmm")</f>
        <v>marzo</v>
      </c>
      <c r="H73" s="112" t="s">
        <v>1188</v>
      </c>
      <c r="I73" s="112" t="s">
        <v>1241</v>
      </c>
      <c r="J73" s="112"/>
      <c r="K73" s="58">
        <v>1</v>
      </c>
      <c r="L73" s="123">
        <v>6394.5</v>
      </c>
      <c r="M73" s="55"/>
      <c r="N73" s="112"/>
      <c r="O73" s="212">
        <f>IF(VEND[[#This Row],[STATUS]]="O.C",(VEND[[#This Row],[Fecha Recibe
O.C]]+VEND[[#This Row],[Dias
entrega ]]),"")</f>
        <v>44277</v>
      </c>
      <c r="P73" s="212"/>
      <c r="Q73" s="58">
        <f>IFERROR(VEND[[#This Row],[Fecha de Despacho]]-VEND[[#This Row],[Fecha Estimada de Entrega a  Cliente]],"")</f>
        <v>-44277</v>
      </c>
      <c r="R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" s="112" t="str">
        <f>IF(VEND[[#This Row],[STATUS]]="O.C","APROBADO",IF(VEND[[#This Row],[STATUS]]="PERDIDO","PERDIDO",IF(VEND[[#This Row],[STATUS]]="EN ESPERA","EN ESPERA")))</f>
        <v>APROBADO</v>
      </c>
      <c r="T73" s="112" t="str">
        <f>IF(VEND[[#This Row],[STATUS]]="O.C","APROBADO",IF(VEND[[#This Row],[STATUS]]="PERDIDO","PERDIDO",IF(VEND[[#This Row],[STATUS]]="EN ESPERA","EN ESPERA")))</f>
        <v>APROBADO</v>
      </c>
      <c r="U73" s="55" t="s">
        <v>46</v>
      </c>
      <c r="V73" s="55" t="s">
        <v>46</v>
      </c>
      <c r="W73" s="55" t="s">
        <v>1409</v>
      </c>
      <c r="X73" s="112" t="s">
        <v>2430</v>
      </c>
    </row>
    <row r="74" spans="2:24" ht="15.75" x14ac:dyDescent="0.25">
      <c r="B74" s="71">
        <v>44259</v>
      </c>
      <c r="C74" s="71" t="str">
        <f>TEXT(VEND[[#This Row],[Fecha de Envío
Cotización]],"mmmm")</f>
        <v>marzo</v>
      </c>
      <c r="D74" s="66" t="s">
        <v>1163</v>
      </c>
      <c r="E74" s="125" t="s">
        <v>42</v>
      </c>
      <c r="F74" s="125" t="str">
        <f>IF(VEND[[#This Row],[STATUS]]="PERDIDO","N/A","En espera")</f>
        <v>N/A</v>
      </c>
      <c r="G74" s="125" t="str">
        <f>TEXT(VEND[[#This Row],[Fecha Recibe
O.C]],"mmmm")</f>
        <v>N/A</v>
      </c>
      <c r="H74" s="112" t="s">
        <v>1189</v>
      </c>
      <c r="I74" s="112" t="s">
        <v>1241</v>
      </c>
      <c r="J74" s="112"/>
      <c r="K74" s="58">
        <v>2</v>
      </c>
      <c r="L74" s="123">
        <v>101.18</v>
      </c>
      <c r="M74" s="55"/>
      <c r="N74" s="112"/>
      <c r="O74" s="212" t="str">
        <f>IF(VEND[[#This Row],[STATUS]]="O.C",(VEND[[#This Row],[Fecha Recibe
O.C]]+VEND[[#This Row],[Dias
entrega ]]),"")</f>
        <v/>
      </c>
      <c r="P74" s="212"/>
      <c r="Q74" s="58" t="str">
        <f>IFERROR(VEND[[#This Row],[Fecha de Despacho]]-VEND[[#This Row],[Fecha Estimada de Entrega a  Cliente]],"")</f>
        <v/>
      </c>
      <c r="R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" s="112" t="str">
        <f>IF(VEND[[#This Row],[STATUS]]="O.C","APROBADO",IF(VEND[[#This Row],[STATUS]]="PERDIDO","PERDIDO",IF(VEND[[#This Row],[STATUS]]="EN ESPERA","EN ESPERA")))</f>
        <v>PERDIDO</v>
      </c>
      <c r="T74" s="112" t="str">
        <f>IF(VEND[[#This Row],[STATUS]]="O.C","APROBADO",IF(VEND[[#This Row],[STATUS]]="PERDIDO","PERDIDO",IF(VEND[[#This Row],[STATUS]]="EN ESPERA","EN ESPERA")))</f>
        <v>PERDIDO</v>
      </c>
      <c r="U74" s="55" t="s">
        <v>23</v>
      </c>
      <c r="V74" s="55" t="s">
        <v>23</v>
      </c>
      <c r="W74" s="55" t="s">
        <v>1409</v>
      </c>
      <c r="X74" s="112"/>
    </row>
    <row r="75" spans="2:24" s="85" customFormat="1" ht="15.75" x14ac:dyDescent="0.25">
      <c r="B75" s="232">
        <v>44259</v>
      </c>
      <c r="C75" s="71" t="str">
        <f>TEXT(VEND[[#This Row],[Fecha de Envío
Cotización]],"mmmm")</f>
        <v>marzo</v>
      </c>
      <c r="D75" s="66" t="s">
        <v>1163</v>
      </c>
      <c r="E75" s="125" t="s">
        <v>83</v>
      </c>
      <c r="F75" s="93">
        <v>44302</v>
      </c>
      <c r="G75" s="93" t="str">
        <f>TEXT(VEND[[#This Row],[Fecha Recibe
O.C]],"mmmm")</f>
        <v>abril</v>
      </c>
      <c r="H75" s="112" t="s">
        <v>1193</v>
      </c>
      <c r="I75" s="55" t="s">
        <v>1241</v>
      </c>
      <c r="J75" s="112"/>
      <c r="K75" s="58">
        <v>1</v>
      </c>
      <c r="L75" s="123">
        <v>2041.5</v>
      </c>
      <c r="M75" s="55"/>
      <c r="N75" s="112"/>
      <c r="O75" s="212">
        <f>IF(VEND[[#This Row],[STATUS]]="O.C",(VEND[[#This Row],[Fecha Recibe
O.C]]+VEND[[#This Row],[Dias
entrega ]]),"")</f>
        <v>44302</v>
      </c>
      <c r="P75" s="212"/>
      <c r="Q75" s="58">
        <f>IFERROR(VEND[[#This Row],[Fecha de Despacho]]-VEND[[#This Row],[Fecha Estimada de Entrega a  Cliente]],"")</f>
        <v>-44302</v>
      </c>
      <c r="R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5" s="112" t="str">
        <f>IF(VEND[[#This Row],[STATUS]]="O.C","APROBADO",IF(VEND[[#This Row],[STATUS]]="PERDIDO","PERDIDO",IF(VEND[[#This Row],[STATUS]]="EN ESPERA","EN ESPERA")))</f>
        <v>APROBADO</v>
      </c>
      <c r="T75" s="112" t="str">
        <f>IF(VEND[[#This Row],[STATUS]]="O.C","APROBADO",IF(VEND[[#This Row],[STATUS]]="PERDIDO","PERDIDO",IF(VEND[[#This Row],[STATUS]]="EN ESPERA","EN ESPERA")))</f>
        <v>APROBADO</v>
      </c>
      <c r="U75" s="55" t="s">
        <v>46</v>
      </c>
      <c r="V75" s="55" t="s">
        <v>46</v>
      </c>
      <c r="W75" s="55" t="s">
        <v>1409</v>
      </c>
      <c r="X75" s="112" t="s">
        <v>2425</v>
      </c>
    </row>
    <row r="76" spans="2:24" ht="15.75" x14ac:dyDescent="0.25">
      <c r="B76" s="232">
        <v>44259</v>
      </c>
      <c r="C76" s="71" t="str">
        <f>TEXT(VEND[[#This Row],[Fecha de Envío
Cotización]],"mmmm")</f>
        <v>marzo</v>
      </c>
      <c r="D76" s="66" t="s">
        <v>1163</v>
      </c>
      <c r="E76" s="125" t="s">
        <v>83</v>
      </c>
      <c r="F76" s="93">
        <v>44278</v>
      </c>
      <c r="G76" s="93" t="str">
        <f>TEXT(VEND[[#This Row],[Fecha Recibe
O.C]],"mmmm")</f>
        <v>marzo</v>
      </c>
      <c r="H76" s="112" t="s">
        <v>1190</v>
      </c>
      <c r="I76" s="55" t="s">
        <v>1241</v>
      </c>
      <c r="J76" s="112"/>
      <c r="K76" s="58">
        <v>1</v>
      </c>
      <c r="L76" s="123">
        <v>1664.8</v>
      </c>
      <c r="M76" s="55"/>
      <c r="N76" s="112"/>
      <c r="O76" s="212">
        <f>IF(VEND[[#This Row],[STATUS]]="O.C",(VEND[[#This Row],[Fecha Recibe
O.C]]+VEND[[#This Row],[Dias
entrega ]]),"")</f>
        <v>44278</v>
      </c>
      <c r="P76" s="212"/>
      <c r="Q76" s="58">
        <f>IFERROR(VEND[[#This Row],[Fecha de Despacho]]-VEND[[#This Row],[Fecha Estimada de Entrega a  Cliente]],"")</f>
        <v>-44278</v>
      </c>
      <c r="R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6" s="112" t="str">
        <f>IF(VEND[[#This Row],[STATUS]]="O.C","APROBADO",IF(VEND[[#This Row],[STATUS]]="PERDIDO","PERDIDO",IF(VEND[[#This Row],[STATUS]]="EN ESPERA","EN ESPERA")))</f>
        <v>APROBADO</v>
      </c>
      <c r="T76" s="112" t="str">
        <f>IF(VEND[[#This Row],[STATUS]]="O.C","APROBADO",IF(VEND[[#This Row],[STATUS]]="PERDIDO","PERDIDO",IF(VEND[[#This Row],[STATUS]]="EN ESPERA","EN ESPERA")))</f>
        <v>APROBADO</v>
      </c>
      <c r="U76" s="55" t="s">
        <v>46</v>
      </c>
      <c r="V76" s="55" t="s">
        <v>46</v>
      </c>
      <c r="W76" s="55" t="s">
        <v>1409</v>
      </c>
      <c r="X76" s="112" t="s">
        <v>2418</v>
      </c>
    </row>
    <row r="77" spans="2:24" ht="15.75" x14ac:dyDescent="0.25">
      <c r="B77" s="232">
        <v>44259</v>
      </c>
      <c r="C77" s="71" t="str">
        <f>TEXT(VEND[[#This Row],[Fecha de Envío
Cotización]],"mmmm")</f>
        <v>marzo</v>
      </c>
      <c r="D77" s="66" t="s">
        <v>1163</v>
      </c>
      <c r="E77" s="125" t="s">
        <v>83</v>
      </c>
      <c r="F77" s="93">
        <v>44285</v>
      </c>
      <c r="G77" s="93" t="str">
        <f>TEXT(VEND[[#This Row],[Fecha Recibe
O.C]],"mmmm")</f>
        <v>marzo</v>
      </c>
      <c r="H77" s="112" t="s">
        <v>1191</v>
      </c>
      <c r="I77" s="55" t="s">
        <v>1241</v>
      </c>
      <c r="J77" s="112"/>
      <c r="K77" s="58">
        <v>3</v>
      </c>
      <c r="L77" s="123">
        <v>2871.72</v>
      </c>
      <c r="M77" s="55" t="s">
        <v>16</v>
      </c>
      <c r="N77" s="112">
        <v>21</v>
      </c>
      <c r="O77" s="212">
        <f>IF(VEND[[#This Row],[STATUS]]="O.C",(VEND[[#This Row],[Fecha Recibe
O.C]]+VEND[[#This Row],[Dias
entrega ]]),"")</f>
        <v>44306</v>
      </c>
      <c r="P77" s="212">
        <v>44357</v>
      </c>
      <c r="Q77" s="58">
        <f>IFERROR(VEND[[#This Row],[Fecha de Despacho]]-VEND[[#This Row],[Fecha Estimada de Entrega a  Cliente]],"")</f>
        <v>51</v>
      </c>
      <c r="R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77" s="112" t="str">
        <f>IF(VEND[[#This Row],[STATUS]]="O.C","APROBADO",IF(VEND[[#This Row],[STATUS]]="PERDIDO","PERDIDO",IF(VEND[[#This Row],[STATUS]]="EN ESPERA","EN ESPERA")))</f>
        <v>APROBADO</v>
      </c>
      <c r="T77" s="112" t="str">
        <f>IF(VEND[[#This Row],[STATUS]]="O.C","APROBADO",IF(VEND[[#This Row],[STATUS]]="PERDIDO","PERDIDO",IF(VEND[[#This Row],[STATUS]]="EN ESPERA","EN ESPERA")))</f>
        <v>APROBADO</v>
      </c>
      <c r="U77" s="55" t="s">
        <v>46</v>
      </c>
      <c r="V77" s="55" t="s">
        <v>46</v>
      </c>
      <c r="W77" s="55" t="s">
        <v>1409</v>
      </c>
      <c r="X77" s="59" t="s">
        <v>1475</v>
      </c>
    </row>
    <row r="78" spans="2:24" ht="15.75" x14ac:dyDescent="0.25">
      <c r="B78" s="71">
        <v>44259</v>
      </c>
      <c r="C78" s="71" t="str">
        <f>TEXT(VEND[[#This Row],[Fecha de Envío
Cotización]],"mmmm")</f>
        <v>marzo</v>
      </c>
      <c r="D78" s="66" t="s">
        <v>1163</v>
      </c>
      <c r="E78" s="125" t="s">
        <v>42</v>
      </c>
      <c r="F78" s="92" t="str">
        <f>IF(VEND[[#This Row],[STATUS]]="PERDIDO","N/A","En espera")</f>
        <v>N/A</v>
      </c>
      <c r="G78" s="125" t="str">
        <f>TEXT(VEND[[#This Row],[Fecha Recibe
O.C]],"mmmm")</f>
        <v>N/A</v>
      </c>
      <c r="H78" s="112" t="s">
        <v>1192</v>
      </c>
      <c r="I78" s="55" t="s">
        <v>1241</v>
      </c>
      <c r="J78" s="112"/>
      <c r="K78" s="58">
        <v>1</v>
      </c>
      <c r="L78" s="123">
        <v>2136</v>
      </c>
      <c r="M78" s="112"/>
      <c r="N78" s="112"/>
      <c r="O78" s="212" t="str">
        <f>IF(VEND[[#This Row],[STATUS]]="O.C",(VEND[[#This Row],[Fecha Recibe
O.C]]+VEND[[#This Row],[Dias
entrega ]]),"")</f>
        <v/>
      </c>
      <c r="P78" s="212"/>
      <c r="Q78" s="58" t="str">
        <f>IFERROR(VEND[[#This Row],[Fecha de Despacho]]-VEND[[#This Row],[Fecha Estimada de Entrega a  Cliente]],"")</f>
        <v/>
      </c>
      <c r="R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8" s="112" t="str">
        <f>IF(VEND[[#This Row],[STATUS]]="O.C","APROBADO",IF(VEND[[#This Row],[STATUS]]="PERDIDO","PERDIDO",IF(VEND[[#This Row],[STATUS]]="EN ESPERA","EN ESPERA")))</f>
        <v>PERDIDO</v>
      </c>
      <c r="T78" s="112" t="str">
        <f>IF(VEND[[#This Row],[STATUS]]="O.C","APROBADO",IF(VEND[[#This Row],[STATUS]]="PERDIDO","PERDIDO",IF(VEND[[#This Row],[STATUS]]="EN ESPERA","EN ESPERA")))</f>
        <v>PERDIDO</v>
      </c>
      <c r="U78" s="112" t="s">
        <v>23</v>
      </c>
      <c r="V78" s="112" t="s">
        <v>23</v>
      </c>
      <c r="W78" s="112" t="s">
        <v>1409</v>
      </c>
      <c r="X78" s="112"/>
    </row>
    <row r="79" spans="2:24" ht="15.75" x14ac:dyDescent="0.25">
      <c r="B79" s="71">
        <v>44260</v>
      </c>
      <c r="C79" s="71" t="str">
        <f>TEXT(VEND[[#This Row],[Fecha de Envío
Cotización]],"mmmm")</f>
        <v>marzo</v>
      </c>
      <c r="D79" s="112" t="s">
        <v>41</v>
      </c>
      <c r="E79" s="125" t="s">
        <v>42</v>
      </c>
      <c r="F79" s="92" t="str">
        <f>IF(VEND[[#This Row],[STATUS]]="PERDIDO","N/A","En espera")</f>
        <v>N/A</v>
      </c>
      <c r="G79" s="125" t="str">
        <f>TEXT(VEND[[#This Row],[Fecha Recibe
O.C]],"mmmm")</f>
        <v>N/A</v>
      </c>
      <c r="H79" s="112">
        <v>1455</v>
      </c>
      <c r="I79" s="112" t="s">
        <v>40</v>
      </c>
      <c r="J79" s="112"/>
      <c r="K79" s="58">
        <v>8</v>
      </c>
      <c r="L79" s="123">
        <v>8807.7999999999993</v>
      </c>
      <c r="M79" s="55" t="s">
        <v>15</v>
      </c>
      <c r="N79" s="112">
        <v>14</v>
      </c>
      <c r="O79" s="212" t="str">
        <f>IF(VEND[[#This Row],[STATUS]]="O.C",(VEND[[#This Row],[Fecha Recibe
O.C]]+VEND[[#This Row],[Dias
entrega ]]),"")</f>
        <v/>
      </c>
      <c r="P79" s="212"/>
      <c r="Q79" s="58" t="str">
        <f>IFERROR(VEND[[#This Row],[Fecha de Despacho]]-VEND[[#This Row],[Fecha Estimada de Entrega a  Cliente]],"")</f>
        <v/>
      </c>
      <c r="R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9" s="112" t="str">
        <f>IF(VEND[[#This Row],[STATUS]]="O.C","APROBADO",IF(VEND[[#This Row],[STATUS]]="PERDIDO","PERDIDO",IF(VEND[[#This Row],[STATUS]]="EN ESPERA","EN ESPERA")))</f>
        <v>PERDIDO</v>
      </c>
      <c r="T79" s="112" t="str">
        <f>IF(VEND[[#This Row],[STATUS]]="O.C","APROBADO",IF(VEND[[#This Row],[STATUS]]="PERDIDO","PERDIDO",IF(VEND[[#This Row],[STATUS]]="EN ESPERA","EN ESPERA")))</f>
        <v>PERDIDO</v>
      </c>
      <c r="U79" s="112" t="s">
        <v>23</v>
      </c>
      <c r="V79" s="112" t="s">
        <v>23</v>
      </c>
      <c r="W79" s="112" t="s">
        <v>1401</v>
      </c>
      <c r="X79" s="112" t="s">
        <v>43</v>
      </c>
    </row>
    <row r="80" spans="2:24" ht="15.75" x14ac:dyDescent="0.25">
      <c r="B80" s="47">
        <v>44260</v>
      </c>
      <c r="C80" s="47" t="str">
        <f>TEXT(VEND[[#This Row],[Fecha de Envío
Cotización]],"mmmm")</f>
        <v>marzo</v>
      </c>
      <c r="D80" s="112" t="s">
        <v>945</v>
      </c>
      <c r="E80" s="125" t="s">
        <v>42</v>
      </c>
      <c r="F80" s="92" t="str">
        <f>IF(VEND[[#This Row],[STATUS]]="PERDIDO","N/A","En espera")</f>
        <v>N/A</v>
      </c>
      <c r="G80" s="125" t="str">
        <f>TEXT(VEND[[#This Row],[Fecha Recibe
O.C]],"mmmm")</f>
        <v>N/A</v>
      </c>
      <c r="H80" s="112">
        <v>20022</v>
      </c>
      <c r="I80" s="112" t="s">
        <v>424</v>
      </c>
      <c r="J80" s="112"/>
      <c r="K80" s="58">
        <v>3</v>
      </c>
      <c r="L80" s="123">
        <v>745</v>
      </c>
      <c r="M80" s="55" t="s">
        <v>22</v>
      </c>
      <c r="N80" s="112">
        <v>0</v>
      </c>
      <c r="O80" s="212" t="str">
        <f>IF(VEND[[#This Row],[STATUS]]="O.C",(VEND[[#This Row],[Fecha Recibe
O.C]]+VEND[[#This Row],[Dias
entrega ]]),"")</f>
        <v/>
      </c>
      <c r="P80" s="47"/>
      <c r="Q80" s="220" t="str">
        <f>IFERROR(VEND[[#This Row],[Fecha de Despacho]]-VEND[[#This Row],[Fecha Estimada de Entrega a  Cliente]],"")</f>
        <v/>
      </c>
      <c r="R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0" s="112" t="str">
        <f>IF(VEND[[#This Row],[STATUS]]="O.C","APROBADO",IF(VEND[[#This Row],[STATUS]]="PERDIDO","PERDIDO",IF(VEND[[#This Row],[STATUS]]="EN ESPERA","EN ESPERA")))</f>
        <v>PERDIDO</v>
      </c>
      <c r="T80" s="112" t="str">
        <f>IF(VEND[[#This Row],[STATUS]]="O.C","APROBADO",IF(VEND[[#This Row],[STATUS]]="PERDIDO","PERDIDO",IF(VEND[[#This Row],[STATUS]]="EN ESPERA","EN ESPERA")))</f>
        <v>PERDIDO</v>
      </c>
      <c r="U80" s="59" t="s">
        <v>23</v>
      </c>
      <c r="V80" s="59" t="s">
        <v>23</v>
      </c>
      <c r="W80" s="59" t="s">
        <v>1402</v>
      </c>
      <c r="X80" s="112"/>
    </row>
    <row r="81" spans="2:24" ht="15.75" x14ac:dyDescent="0.25">
      <c r="B81" s="47">
        <v>44260</v>
      </c>
      <c r="C81" s="47" t="str">
        <f>TEXT(VEND[[#This Row],[Fecha de Envío
Cotización]],"mmmm")</f>
        <v>marzo</v>
      </c>
      <c r="D81" s="112" t="s">
        <v>945</v>
      </c>
      <c r="E81" s="125" t="s">
        <v>42</v>
      </c>
      <c r="F81" s="92" t="str">
        <f>IF(VEND[[#This Row],[STATUS]]="PERDIDO","N/A","En espera")</f>
        <v>N/A</v>
      </c>
      <c r="G81" s="125" t="str">
        <f>TEXT(VEND[[#This Row],[Fecha Recibe
O.C]],"mmmm")</f>
        <v>N/A</v>
      </c>
      <c r="H81" s="112">
        <v>20023</v>
      </c>
      <c r="I81" s="55" t="s">
        <v>424</v>
      </c>
      <c r="J81" s="112"/>
      <c r="K81" s="58">
        <v>2</v>
      </c>
      <c r="L81" s="123">
        <v>175</v>
      </c>
      <c r="M81" s="55" t="s">
        <v>22</v>
      </c>
      <c r="N81" s="112">
        <v>0</v>
      </c>
      <c r="O81" s="212" t="str">
        <f>IF(VEND[[#This Row],[STATUS]]="O.C",(VEND[[#This Row],[Fecha Recibe
O.C]]+VEND[[#This Row],[Dias
entrega ]]),"")</f>
        <v/>
      </c>
      <c r="P81" s="47"/>
      <c r="Q81" s="220" t="str">
        <f>IFERROR(VEND[[#This Row],[Fecha de Despacho]]-VEND[[#This Row],[Fecha Estimada de Entrega a  Cliente]],"")</f>
        <v/>
      </c>
      <c r="R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1" s="112" t="str">
        <f>IF(VEND[[#This Row],[STATUS]]="O.C","APROBADO",IF(VEND[[#This Row],[STATUS]]="PERDIDO","PERDIDO",IF(VEND[[#This Row],[STATUS]]="EN ESPERA","EN ESPERA")))</f>
        <v>PERDIDO</v>
      </c>
      <c r="T81" s="112" t="str">
        <f>IF(VEND[[#This Row],[STATUS]]="O.C","APROBADO",IF(VEND[[#This Row],[STATUS]]="PERDIDO","PERDIDO",IF(VEND[[#This Row],[STATUS]]="EN ESPERA","EN ESPERA")))</f>
        <v>PERDIDO</v>
      </c>
      <c r="U81" s="59" t="s">
        <v>23</v>
      </c>
      <c r="V81" s="59" t="s">
        <v>23</v>
      </c>
      <c r="W81" s="59" t="s">
        <v>1402</v>
      </c>
      <c r="X81" s="112"/>
    </row>
    <row r="82" spans="2:24" ht="15.75" x14ac:dyDescent="0.25">
      <c r="B82" s="71">
        <v>44260</v>
      </c>
      <c r="C82" s="71" t="str">
        <f>TEXT(VEND[[#This Row],[Fecha de Envío
Cotización]],"mmmm")</f>
        <v>marzo</v>
      </c>
      <c r="D82" s="112" t="s">
        <v>944</v>
      </c>
      <c r="E82" s="125" t="s">
        <v>42</v>
      </c>
      <c r="F82" s="92" t="str">
        <f>IF(VEND[[#This Row],[STATUS]]="PERDIDO","N/A","En espera")</f>
        <v>N/A</v>
      </c>
      <c r="G82" s="125" t="str">
        <f>TEXT(VEND[[#This Row],[Fecha Recibe
O.C]],"mmmm")</f>
        <v>N/A</v>
      </c>
      <c r="H82" s="112">
        <v>24539</v>
      </c>
      <c r="I82" s="55" t="s">
        <v>76</v>
      </c>
      <c r="J82" s="112"/>
      <c r="K82" s="58">
        <v>1</v>
      </c>
      <c r="L82" s="123">
        <v>2268</v>
      </c>
      <c r="M82" s="55" t="s">
        <v>73</v>
      </c>
      <c r="N82" s="112">
        <v>14</v>
      </c>
      <c r="O82" s="212" t="str">
        <f>IF(VEND[[#This Row],[STATUS]]="O.C",(VEND[[#This Row],[Fecha Recibe
O.C]]+VEND[[#This Row],[Dias
entrega ]]),"")</f>
        <v/>
      </c>
      <c r="P82" s="212"/>
      <c r="Q82" s="58" t="str">
        <f>IFERROR(VEND[[#This Row],[Fecha de Despacho]]-VEND[[#This Row],[Fecha Estimada de Entrega a  Cliente]],"")</f>
        <v/>
      </c>
      <c r="R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2" s="112" t="str">
        <f>IF(VEND[[#This Row],[STATUS]]="O.C","APROBADO",IF(VEND[[#This Row],[STATUS]]="PERDIDO","PERDIDO",IF(VEND[[#This Row],[STATUS]]="EN ESPERA","EN ESPERA")))</f>
        <v>PERDIDO</v>
      </c>
      <c r="T82" s="112" t="str">
        <f>IF(VEND[[#This Row],[STATUS]]="O.C","APROBADO",IF(VEND[[#This Row],[STATUS]]="PERDIDO","PERDIDO",IF(VEND[[#This Row],[STATUS]]="EN ESPERA","EN ESPERA")))</f>
        <v>PERDIDO</v>
      </c>
      <c r="U82" s="55" t="s">
        <v>23</v>
      </c>
      <c r="V82" s="55" t="s">
        <v>23</v>
      </c>
      <c r="W82" s="55" t="s">
        <v>1402</v>
      </c>
      <c r="X82" s="112"/>
    </row>
    <row r="83" spans="2:24" ht="15.75" x14ac:dyDescent="0.25">
      <c r="B83" s="71">
        <v>44260</v>
      </c>
      <c r="C83" s="71" t="str">
        <f>TEXT(VEND[[#This Row],[Fecha de Envío
Cotización]],"mmmm")</f>
        <v>marzo</v>
      </c>
      <c r="D83" s="112" t="s">
        <v>944</v>
      </c>
      <c r="E83" s="125" t="s">
        <v>42</v>
      </c>
      <c r="F83" s="92" t="str">
        <f>IF(VEND[[#This Row],[STATUS]]="PERDIDO","N/A","En espera")</f>
        <v>N/A</v>
      </c>
      <c r="G83" s="125" t="str">
        <f>TEXT(VEND[[#This Row],[Fecha Recibe
O.C]],"mmmm")</f>
        <v>N/A</v>
      </c>
      <c r="H83" s="112">
        <v>24540</v>
      </c>
      <c r="I83" s="55" t="s">
        <v>76</v>
      </c>
      <c r="J83" s="112"/>
      <c r="K83" s="58">
        <v>1</v>
      </c>
      <c r="L83" s="123">
        <v>418</v>
      </c>
      <c r="M83" s="55" t="s">
        <v>77</v>
      </c>
      <c r="N83" s="112">
        <v>7</v>
      </c>
      <c r="O83" s="212" t="str">
        <f>IF(VEND[[#This Row],[STATUS]]="O.C",(VEND[[#This Row],[Fecha Recibe
O.C]]+VEND[[#This Row],[Dias
entrega ]]),"")</f>
        <v/>
      </c>
      <c r="P83" s="212"/>
      <c r="Q83" s="58" t="str">
        <f>IFERROR(VEND[[#This Row],[Fecha de Despacho]]-VEND[[#This Row],[Fecha Estimada de Entrega a  Cliente]],"")</f>
        <v/>
      </c>
      <c r="R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3" s="112" t="str">
        <f>IF(VEND[[#This Row],[STATUS]]="O.C","APROBADO",IF(VEND[[#This Row],[STATUS]]="PERDIDO","PERDIDO",IF(VEND[[#This Row],[STATUS]]="EN ESPERA","EN ESPERA")))</f>
        <v>PERDIDO</v>
      </c>
      <c r="T83" s="112" t="str">
        <f>IF(VEND[[#This Row],[STATUS]]="O.C","APROBADO",IF(VEND[[#This Row],[STATUS]]="PERDIDO","PERDIDO",IF(VEND[[#This Row],[STATUS]]="EN ESPERA","EN ESPERA")))</f>
        <v>PERDIDO</v>
      </c>
      <c r="U83" s="55" t="s">
        <v>23</v>
      </c>
      <c r="V83" s="55" t="s">
        <v>23</v>
      </c>
      <c r="W83" s="55" t="s">
        <v>1402</v>
      </c>
      <c r="X83" s="112"/>
    </row>
    <row r="84" spans="2:24" ht="15.75" x14ac:dyDescent="0.25">
      <c r="B84" s="71">
        <v>44263</v>
      </c>
      <c r="C84" s="71" t="str">
        <f>TEXT(VEND[[#This Row],[Fecha de Envío
Cotización]],"mmmm")</f>
        <v>marzo</v>
      </c>
      <c r="D84" s="112" t="s">
        <v>945</v>
      </c>
      <c r="E84" s="125" t="s">
        <v>42</v>
      </c>
      <c r="F84" s="92" t="str">
        <f>IF(VEND[[#This Row],[STATUS]]="PERDIDO","N/A","En espera")</f>
        <v>N/A</v>
      </c>
      <c r="G84" s="125" t="str">
        <f>TEXT(VEND[[#This Row],[Fecha Recibe
O.C]],"mmmm")</f>
        <v>N/A</v>
      </c>
      <c r="H84" s="112">
        <v>20025</v>
      </c>
      <c r="I84" s="55" t="s">
        <v>31</v>
      </c>
      <c r="J84" s="112"/>
      <c r="K84" s="58">
        <v>1</v>
      </c>
      <c r="L84" s="123">
        <v>365</v>
      </c>
      <c r="M84" s="55" t="s">
        <v>15</v>
      </c>
      <c r="N84" s="112">
        <v>14</v>
      </c>
      <c r="O84" s="212" t="str">
        <f>IF(VEND[[#This Row],[STATUS]]="O.C",(VEND[[#This Row],[Fecha Recibe
O.C]]+VEND[[#This Row],[Dias
entrega ]]),"")</f>
        <v/>
      </c>
      <c r="P84" s="212"/>
      <c r="Q84" s="58" t="str">
        <f>IFERROR(VEND[[#This Row],[Fecha de Despacho]]-VEND[[#This Row],[Fecha Estimada de Entrega a  Cliente]],"")</f>
        <v/>
      </c>
      <c r="R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4" s="112" t="str">
        <f>IF(VEND[[#This Row],[STATUS]]="O.C","APROBADO",IF(VEND[[#This Row],[STATUS]]="PERDIDO","PERDIDO",IF(VEND[[#This Row],[STATUS]]="EN ESPERA","EN ESPERA")))</f>
        <v>PERDIDO</v>
      </c>
      <c r="T84" s="112" t="str">
        <f>IF(VEND[[#This Row],[STATUS]]="O.C","APROBADO",IF(VEND[[#This Row],[STATUS]]="PERDIDO","PERDIDO",IF(VEND[[#This Row],[STATUS]]="EN ESPERA","EN ESPERA")))</f>
        <v>PERDIDO</v>
      </c>
      <c r="U84" s="55" t="s">
        <v>23</v>
      </c>
      <c r="V84" s="55" t="s">
        <v>23</v>
      </c>
      <c r="W84" s="55" t="s">
        <v>1410</v>
      </c>
      <c r="X84" s="112" t="s">
        <v>43</v>
      </c>
    </row>
    <row r="85" spans="2:24" ht="15.75" x14ac:dyDescent="0.25">
      <c r="B85" s="71">
        <v>44263</v>
      </c>
      <c r="C85" s="71" t="str">
        <f>TEXT(VEND[[#This Row],[Fecha de Envío
Cotización]],"mmmm")</f>
        <v>marzo</v>
      </c>
      <c r="D85" s="112" t="s">
        <v>68</v>
      </c>
      <c r="E85" s="125" t="s">
        <v>83</v>
      </c>
      <c r="F85" s="92">
        <v>44315</v>
      </c>
      <c r="G85" s="125" t="str">
        <f>TEXT(VEND[[#This Row],[Fecha Recibe
O.C]],"mmmm")</f>
        <v>abril</v>
      </c>
      <c r="H85" s="112">
        <v>20711</v>
      </c>
      <c r="I85" s="55" t="s">
        <v>96</v>
      </c>
      <c r="J85" s="112" t="s">
        <v>70</v>
      </c>
      <c r="K85" s="58">
        <v>5</v>
      </c>
      <c r="L85" s="123">
        <v>2506.41</v>
      </c>
      <c r="M85" s="55" t="s">
        <v>36</v>
      </c>
      <c r="N85" s="112">
        <v>28</v>
      </c>
      <c r="O85" s="212">
        <f>IF(VEND[[#This Row],[STATUS]]="O.C",(VEND[[#This Row],[Fecha Recibe
O.C]]+VEND[[#This Row],[Dias
entrega ]]),"")</f>
        <v>44343</v>
      </c>
      <c r="P85" s="212"/>
      <c r="Q85" s="58">
        <f>IFERROR(VEND[[#This Row],[Fecha de Despacho]]-VEND[[#This Row],[Fecha Estimada de Entrega a  Cliente]],"")</f>
        <v>-44343</v>
      </c>
      <c r="R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5" s="112" t="str">
        <f>IF(VEND[[#This Row],[STATUS]]="O.C","APROBADO",IF(VEND[[#This Row],[STATUS]]="PERDIDO","PERDIDO",IF(VEND[[#This Row],[STATUS]]="EN ESPERA","EN ESPERA")))</f>
        <v>APROBADO</v>
      </c>
      <c r="T85" s="112" t="str">
        <f>IF(VEND[[#This Row],[STATUS]]="O.C","APROBADO",IF(VEND[[#This Row],[STATUS]]="PERDIDO","PERDIDO",IF(VEND[[#This Row],[STATUS]]="EN ESPERA","EN ESPERA")))</f>
        <v>APROBADO</v>
      </c>
      <c r="U85" s="55" t="s">
        <v>46</v>
      </c>
      <c r="V85" s="55" t="s">
        <v>46</v>
      </c>
      <c r="W85" s="55" t="s">
        <v>1402</v>
      </c>
      <c r="X85" s="112" t="s">
        <v>1418</v>
      </c>
    </row>
    <row r="86" spans="2:24" ht="15.75" x14ac:dyDescent="0.25">
      <c r="B86" s="71">
        <v>44263</v>
      </c>
      <c r="C86" s="71" t="str">
        <f>TEXT(VEND[[#This Row],[Fecha de Envío
Cotización]],"mmmm")</f>
        <v>marzo</v>
      </c>
      <c r="D86" s="112" t="s">
        <v>944</v>
      </c>
      <c r="E86" s="125" t="s">
        <v>42</v>
      </c>
      <c r="F86" s="92" t="str">
        <f>IF(VEND[[#This Row],[STATUS]]="PERDIDO","N/A","En espera")</f>
        <v>N/A</v>
      </c>
      <c r="G86" s="125" t="str">
        <f>TEXT(VEND[[#This Row],[Fecha Recibe
O.C]],"mmmm")</f>
        <v>N/A</v>
      </c>
      <c r="H86" s="112">
        <v>25014</v>
      </c>
      <c r="I86" s="55" t="s">
        <v>72</v>
      </c>
      <c r="J86" s="112"/>
      <c r="K86" s="58">
        <v>1</v>
      </c>
      <c r="L86" s="123">
        <v>7652.4</v>
      </c>
      <c r="M86" s="55" t="s">
        <v>36</v>
      </c>
      <c r="N86" s="112">
        <v>28</v>
      </c>
      <c r="O86" s="212" t="str">
        <f>IF(VEND[[#This Row],[STATUS]]="O.C",(VEND[[#This Row],[Fecha Recibe
O.C]]+VEND[[#This Row],[Dias
entrega ]]),"")</f>
        <v/>
      </c>
      <c r="P86" s="212"/>
      <c r="Q86" s="58" t="str">
        <f>IFERROR(VEND[[#This Row],[Fecha de Despacho]]-VEND[[#This Row],[Fecha Estimada de Entrega a  Cliente]],"")</f>
        <v/>
      </c>
      <c r="R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6" s="112" t="str">
        <f>IF(VEND[[#This Row],[STATUS]]="O.C","APROBADO",IF(VEND[[#This Row],[STATUS]]="PERDIDO","PERDIDO",IF(VEND[[#This Row],[STATUS]]="EN ESPERA","EN ESPERA")))</f>
        <v>PERDIDO</v>
      </c>
      <c r="T86" s="112" t="str">
        <f>IF(VEND[[#This Row],[STATUS]]="O.C","APROBADO",IF(VEND[[#This Row],[STATUS]]="PERDIDO","PERDIDO",IF(VEND[[#This Row],[STATUS]]="EN ESPERA","EN ESPERA")))</f>
        <v>PERDIDO</v>
      </c>
      <c r="U86" s="55" t="s">
        <v>23</v>
      </c>
      <c r="V86" s="55" t="s">
        <v>23</v>
      </c>
      <c r="W86" s="55" t="s">
        <v>1402</v>
      </c>
      <c r="X86" s="112"/>
    </row>
    <row r="87" spans="2:24" ht="15.75" x14ac:dyDescent="0.25">
      <c r="B87" s="71">
        <v>44263</v>
      </c>
      <c r="C87" s="71" t="str">
        <f>TEXT(VEND[[#This Row],[Fecha de Envío
Cotización]],"mmmm")</f>
        <v>marzo</v>
      </c>
      <c r="D87" s="112" t="s">
        <v>944</v>
      </c>
      <c r="E87" s="125" t="s">
        <v>42</v>
      </c>
      <c r="F87" s="92" t="str">
        <f>IF(VEND[[#This Row],[STATUS]]="PERDIDO","N/A","En espera")</f>
        <v>N/A</v>
      </c>
      <c r="G87" s="125" t="str">
        <f>TEXT(VEND[[#This Row],[Fecha Recibe
O.C]],"mmmm")</f>
        <v>N/A</v>
      </c>
      <c r="H87" s="112">
        <v>28550</v>
      </c>
      <c r="I87" s="55" t="s">
        <v>78</v>
      </c>
      <c r="J87" s="112"/>
      <c r="K87" s="58">
        <v>1</v>
      </c>
      <c r="L87" s="123">
        <v>965.91</v>
      </c>
      <c r="M87" s="55" t="s">
        <v>22</v>
      </c>
      <c r="N87" s="112">
        <v>0</v>
      </c>
      <c r="O87" s="212" t="str">
        <f>IF(VEND[[#This Row],[STATUS]]="O.C",(VEND[[#This Row],[Fecha Recibe
O.C]]+VEND[[#This Row],[Dias
entrega ]]),"")</f>
        <v/>
      </c>
      <c r="P87" s="212"/>
      <c r="Q87" s="58" t="str">
        <f>IFERROR(VEND[[#This Row],[Fecha de Despacho]]-VEND[[#This Row],[Fecha Estimada de Entrega a  Cliente]],"")</f>
        <v/>
      </c>
      <c r="R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7" s="112" t="str">
        <f>IF(VEND[[#This Row],[STATUS]]="O.C","APROBADO",IF(VEND[[#This Row],[STATUS]]="PERDIDO","PERDIDO",IF(VEND[[#This Row],[STATUS]]="EN ESPERA","EN ESPERA")))</f>
        <v>PERDIDO</v>
      </c>
      <c r="T87" s="112" t="str">
        <f>IF(VEND[[#This Row],[STATUS]]="O.C","APROBADO",IF(VEND[[#This Row],[STATUS]]="PERDIDO","PERDIDO",IF(VEND[[#This Row],[STATUS]]="EN ESPERA","EN ESPERA")))</f>
        <v>PERDIDO</v>
      </c>
      <c r="U87" s="55" t="s">
        <v>23</v>
      </c>
      <c r="V87" s="55" t="s">
        <v>23</v>
      </c>
      <c r="W87" s="55" t="s">
        <v>1407</v>
      </c>
      <c r="X87" s="67" t="s">
        <v>79</v>
      </c>
    </row>
    <row r="88" spans="2:24" ht="15.75" x14ac:dyDescent="0.25">
      <c r="B88" s="71">
        <v>44264</v>
      </c>
      <c r="C88" s="71" t="str">
        <f>TEXT(VEND[[#This Row],[Fecha de Envío
Cotización]],"mmmm")</f>
        <v>marzo</v>
      </c>
      <c r="D88" s="66" t="s">
        <v>1163</v>
      </c>
      <c r="E88" s="125" t="s">
        <v>42</v>
      </c>
      <c r="F88" s="92" t="str">
        <f>IF(VEND[[#This Row],[STATUS]]="PERDIDO","N/A","En espera")</f>
        <v>N/A</v>
      </c>
      <c r="G88" s="125" t="str">
        <f>TEXT(VEND[[#This Row],[Fecha Recibe
O.C]],"mmmm")</f>
        <v>N/A</v>
      </c>
      <c r="H88" s="112">
        <v>4527</v>
      </c>
      <c r="I88" s="55" t="s">
        <v>1241</v>
      </c>
      <c r="J88" s="112"/>
      <c r="K88" s="58">
        <v>1</v>
      </c>
      <c r="L88" s="123">
        <v>59351.360000000001</v>
      </c>
      <c r="M88" s="55"/>
      <c r="N88" s="112"/>
      <c r="O88" s="212" t="str">
        <f>IF(VEND[[#This Row],[STATUS]]="O.C",(VEND[[#This Row],[Fecha Recibe
O.C]]+VEND[[#This Row],[Dias
entrega ]]),"")</f>
        <v/>
      </c>
      <c r="P88" s="212"/>
      <c r="Q88" s="58" t="str">
        <f>IFERROR(VEND[[#This Row],[Fecha de Despacho]]-VEND[[#This Row],[Fecha Estimada de Entrega a  Cliente]],"")</f>
        <v/>
      </c>
      <c r="R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8" s="112" t="str">
        <f>IF(VEND[[#This Row],[STATUS]]="O.C","APROBADO",IF(VEND[[#This Row],[STATUS]]="PERDIDO","PERDIDO",IF(VEND[[#This Row],[STATUS]]="EN ESPERA","EN ESPERA")))</f>
        <v>PERDIDO</v>
      </c>
      <c r="T88" s="112" t="str">
        <f>IF(VEND[[#This Row],[STATUS]]="O.C","APROBADO",IF(VEND[[#This Row],[STATUS]]="PERDIDO","PERDIDO",IF(VEND[[#This Row],[STATUS]]="EN ESPERA","EN ESPERA")))</f>
        <v>PERDIDO</v>
      </c>
      <c r="U88" s="55" t="s">
        <v>23</v>
      </c>
      <c r="V88" s="55" t="s">
        <v>23</v>
      </c>
      <c r="W88" s="55" t="s">
        <v>1409</v>
      </c>
      <c r="X88" s="112"/>
    </row>
    <row r="89" spans="2:24" ht="15.75" x14ac:dyDescent="0.25">
      <c r="B89" s="71">
        <v>44264</v>
      </c>
      <c r="C89" s="71" t="str">
        <f>TEXT(VEND[[#This Row],[Fecha de Envío
Cotización]],"mmmm")</f>
        <v>marzo</v>
      </c>
      <c r="D89" s="112" t="s">
        <v>945</v>
      </c>
      <c r="E89" s="125" t="s">
        <v>42</v>
      </c>
      <c r="F89" s="92" t="str">
        <f>IF(VEND[[#This Row],[STATUS]]="PERDIDO","N/A","En espera")</f>
        <v>N/A</v>
      </c>
      <c r="G89" s="125" t="str">
        <f>TEXT(VEND[[#This Row],[Fecha Recibe
O.C]],"mmmm")</f>
        <v>N/A</v>
      </c>
      <c r="H89" s="112">
        <v>20026</v>
      </c>
      <c r="I89" s="112" t="s">
        <v>59</v>
      </c>
      <c r="J89" s="112"/>
      <c r="K89" s="58">
        <v>3</v>
      </c>
      <c r="L89" s="123">
        <v>219</v>
      </c>
      <c r="M89" s="55" t="s">
        <v>22</v>
      </c>
      <c r="N89" s="112">
        <v>0</v>
      </c>
      <c r="O89" s="212" t="str">
        <f>IF(VEND[[#This Row],[STATUS]]="O.C",(VEND[[#This Row],[Fecha Recibe
O.C]]+VEND[[#This Row],[Dias
entrega ]]),"")</f>
        <v/>
      </c>
      <c r="P89" s="212"/>
      <c r="Q89" s="58" t="str">
        <f>IFERROR(VEND[[#This Row],[Fecha de Despacho]]-VEND[[#This Row],[Fecha Estimada de Entrega a  Cliente]],"")</f>
        <v/>
      </c>
      <c r="R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89" s="112" t="str">
        <f>IF(VEND[[#This Row],[STATUS]]="O.C","APROBADO",IF(VEND[[#This Row],[STATUS]]="PERDIDO","PERDIDO",IF(VEND[[#This Row],[STATUS]]="EN ESPERA","EN ESPERA")))</f>
        <v>PERDIDO</v>
      </c>
      <c r="T89" s="112" t="str">
        <f>IF(VEND[[#This Row],[STATUS]]="O.C","APROBADO",IF(VEND[[#This Row],[STATUS]]="PERDIDO","PERDIDO",IF(VEND[[#This Row],[STATUS]]="EN ESPERA","EN ESPERA")))</f>
        <v>PERDIDO</v>
      </c>
      <c r="U89" s="55" t="s">
        <v>23</v>
      </c>
      <c r="V89" s="55" t="s">
        <v>23</v>
      </c>
      <c r="W89" s="55" t="s">
        <v>1411</v>
      </c>
      <c r="X89" s="112" t="s">
        <v>43</v>
      </c>
    </row>
    <row r="90" spans="2:24" ht="15.75" x14ac:dyDescent="0.25">
      <c r="B90" s="71">
        <v>44264</v>
      </c>
      <c r="C90" s="71" t="str">
        <f>TEXT(VEND[[#This Row],[Fecha de Envío
Cotización]],"mmmm")</f>
        <v>marzo</v>
      </c>
      <c r="D90" s="112" t="s">
        <v>945</v>
      </c>
      <c r="E90" s="125" t="s">
        <v>42</v>
      </c>
      <c r="F90" s="92" t="str">
        <f>IF(VEND[[#This Row],[STATUS]]="PERDIDO","N/A","En espera")</f>
        <v>N/A</v>
      </c>
      <c r="G90" s="125" t="str">
        <f>TEXT(VEND[[#This Row],[Fecha Recibe
O.C]],"mmmm")</f>
        <v>N/A</v>
      </c>
      <c r="H90" s="112">
        <v>20028</v>
      </c>
      <c r="I90" s="55" t="s">
        <v>424</v>
      </c>
      <c r="J90" s="112"/>
      <c r="K90" s="58">
        <v>1</v>
      </c>
      <c r="L90" s="123">
        <v>7200</v>
      </c>
      <c r="M90" s="55" t="s">
        <v>22</v>
      </c>
      <c r="N90" s="112">
        <v>0</v>
      </c>
      <c r="O90" s="212" t="str">
        <f>IF(VEND[[#This Row],[STATUS]]="O.C",(VEND[[#This Row],[Fecha Recibe
O.C]]+VEND[[#This Row],[Dias
entrega ]]),"")</f>
        <v/>
      </c>
      <c r="P90" s="212"/>
      <c r="Q90" s="58" t="str">
        <f>IFERROR(VEND[[#This Row],[Fecha de Despacho]]-VEND[[#This Row],[Fecha Estimada de Entrega a  Cliente]],"")</f>
        <v/>
      </c>
      <c r="R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0" s="112" t="str">
        <f>IF(VEND[[#This Row],[STATUS]]="O.C","APROBADO",IF(VEND[[#This Row],[STATUS]]="PERDIDO","PERDIDO",IF(VEND[[#This Row],[STATUS]]="EN ESPERA","EN ESPERA")))</f>
        <v>PERDIDO</v>
      </c>
      <c r="T90" s="112" t="str">
        <f>IF(VEND[[#This Row],[STATUS]]="O.C","APROBADO",IF(VEND[[#This Row],[STATUS]]="PERDIDO","PERDIDO",IF(VEND[[#This Row],[STATUS]]="EN ESPERA","EN ESPERA")))</f>
        <v>PERDIDO</v>
      </c>
      <c r="U90" s="55" t="s">
        <v>23</v>
      </c>
      <c r="V90" s="55" t="s">
        <v>23</v>
      </c>
      <c r="W90" s="55" t="s">
        <v>1402</v>
      </c>
      <c r="X90" s="112" t="s">
        <v>43</v>
      </c>
    </row>
    <row r="91" spans="2:24" ht="15.75" x14ac:dyDescent="0.25">
      <c r="B91" s="65">
        <v>44264</v>
      </c>
      <c r="C91" s="71" t="str">
        <f>TEXT(VEND[[#This Row],[Fecha de Envío
Cotización]],"mmmm")</f>
        <v>marzo</v>
      </c>
      <c r="D91" s="112" t="s">
        <v>50</v>
      </c>
      <c r="E91" s="125" t="s">
        <v>83</v>
      </c>
      <c r="F91" s="92">
        <v>44277</v>
      </c>
      <c r="G91" s="125" t="str">
        <f>TEXT(VEND[[#This Row],[Fecha Recibe
O.C]],"mmmm")</f>
        <v>marzo</v>
      </c>
      <c r="H91" s="112">
        <v>20135</v>
      </c>
      <c r="I91" s="112" t="s">
        <v>125</v>
      </c>
      <c r="J91" s="55"/>
      <c r="K91" s="58">
        <v>1</v>
      </c>
      <c r="L91" s="123">
        <v>191.68</v>
      </c>
      <c r="M91" s="55" t="s">
        <v>16</v>
      </c>
      <c r="N91" s="112">
        <v>21</v>
      </c>
      <c r="O91" s="212">
        <f>IF(VEND[[#This Row],[STATUS]]="O.C",(VEND[[#This Row],[Fecha Recibe
O.C]]+VEND[[#This Row],[Dias
entrega ]]),"")</f>
        <v>44298</v>
      </c>
      <c r="P91" s="212">
        <v>44314</v>
      </c>
      <c r="Q91" s="58">
        <f>IFERROR(VEND[[#This Row],[Fecha de Despacho]]-VEND[[#This Row],[Fecha Estimada de Entrega a  Cliente]],"")</f>
        <v>16</v>
      </c>
      <c r="R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91" s="55" t="str">
        <f>IF(VEND[[#This Row],[STATUS]]="O.C","APROBADO",IF(VEND[[#This Row],[STATUS]]="PERDIDO","PERDIDO",IF(VEND[[#This Row],[STATUS]]="EN ESPERA","EN ESPERA")))</f>
        <v>APROBADO</v>
      </c>
      <c r="T91" s="55" t="str">
        <f>IF(VEND[[#This Row],[STATUS]]="O.C","APROBADO",IF(VEND[[#This Row],[STATUS]]="PERDIDO","PERDIDO",IF(VEND[[#This Row],[STATUS]]="EN ESPERA","EN ESPERA")))</f>
        <v>APROBADO</v>
      </c>
      <c r="U91" s="55" t="s">
        <v>45</v>
      </c>
      <c r="V91" s="55" t="s">
        <v>47</v>
      </c>
      <c r="W91" s="55" t="s">
        <v>1401</v>
      </c>
      <c r="X91" s="55"/>
    </row>
    <row r="92" spans="2:24" ht="15.75" x14ac:dyDescent="0.25">
      <c r="B92" s="65">
        <v>44264</v>
      </c>
      <c r="C92" s="71" t="str">
        <f>TEXT(VEND[[#This Row],[Fecha de Envío
Cotización]],"mmmm")</f>
        <v>marzo</v>
      </c>
      <c r="D92" s="112" t="s">
        <v>50</v>
      </c>
      <c r="E92" s="125" t="s">
        <v>42</v>
      </c>
      <c r="F92" s="92" t="str">
        <f>IF(VEND[[#This Row],[STATUS]]="PERDIDO","N/A","En espera")</f>
        <v>N/A</v>
      </c>
      <c r="G92" s="125" t="str">
        <f>TEXT(VEND[[#This Row],[Fecha Recibe
O.C]],"mmmm")</f>
        <v>N/A</v>
      </c>
      <c r="H92" s="112">
        <v>20136</v>
      </c>
      <c r="I92" s="112" t="s">
        <v>125</v>
      </c>
      <c r="J92" s="112"/>
      <c r="K92" s="58">
        <v>1</v>
      </c>
      <c r="L92" s="123">
        <v>52.45</v>
      </c>
      <c r="M92" s="112" t="s">
        <v>16</v>
      </c>
      <c r="N92" s="112">
        <v>21</v>
      </c>
      <c r="O92" s="212" t="str">
        <f>IF(VEND[[#This Row],[STATUS]]="O.C",(VEND[[#This Row],[Fecha Recibe
O.C]]+VEND[[#This Row],[Dias
entrega ]]),"")</f>
        <v/>
      </c>
      <c r="P92" s="212"/>
      <c r="Q92" s="58" t="str">
        <f>IFERROR(VEND[[#This Row],[Fecha de Despacho]]-VEND[[#This Row],[Fecha Estimada de Entrega a  Cliente]],"")</f>
        <v/>
      </c>
      <c r="R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2" s="55" t="str">
        <f>IF(VEND[[#This Row],[STATUS]]="O.C","APROBADO",IF(VEND[[#This Row],[STATUS]]="PERDIDO","PERDIDO",IF(VEND[[#This Row],[STATUS]]="EN ESPERA","EN ESPERA")))</f>
        <v>PERDIDO</v>
      </c>
      <c r="T92" s="55" t="str">
        <f>IF(VEND[[#This Row],[STATUS]]="O.C","APROBADO",IF(VEND[[#This Row],[STATUS]]="PERDIDO","PERDIDO",IF(VEND[[#This Row],[STATUS]]="EN ESPERA","EN ESPERA")))</f>
        <v>PERDIDO</v>
      </c>
      <c r="U92" s="112" t="s">
        <v>23</v>
      </c>
      <c r="V92" s="112" t="s">
        <v>23</v>
      </c>
      <c r="W92" s="55" t="s">
        <v>1401</v>
      </c>
      <c r="X92" s="112"/>
    </row>
    <row r="93" spans="2:24" ht="15.75" x14ac:dyDescent="0.25">
      <c r="B93" s="71">
        <v>44264</v>
      </c>
      <c r="C93" s="71" t="str">
        <f>TEXT(VEND[[#This Row],[Fecha de Envío
Cotización]],"mmmm")</f>
        <v>marzo</v>
      </c>
      <c r="D93" s="66" t="s">
        <v>1163</v>
      </c>
      <c r="E93" s="125" t="s">
        <v>42</v>
      </c>
      <c r="F93" s="125" t="str">
        <f>IF(VEND[[#This Row],[STATUS]]="PERDIDO","N/A","En espera")</f>
        <v>N/A</v>
      </c>
      <c r="G93" s="125" t="str">
        <f>TEXT(VEND[[#This Row],[Fecha Recibe
O.C]],"mmmm")</f>
        <v>N/A</v>
      </c>
      <c r="H93" s="112" t="s">
        <v>1194</v>
      </c>
      <c r="I93" s="112" t="s">
        <v>1241</v>
      </c>
      <c r="J93" s="112"/>
      <c r="K93" s="58">
        <v>3</v>
      </c>
      <c r="L93" s="123">
        <v>3742</v>
      </c>
      <c r="M93" s="55"/>
      <c r="N93" s="112"/>
      <c r="O93" s="212" t="str">
        <f>IF(VEND[[#This Row],[STATUS]]="O.C",(VEND[[#This Row],[Fecha Recibe
O.C]]+VEND[[#This Row],[Dias
entrega ]]),"")</f>
        <v/>
      </c>
      <c r="P93" s="212"/>
      <c r="Q93" s="58" t="str">
        <f>IFERROR(VEND[[#This Row],[Fecha de Despacho]]-VEND[[#This Row],[Fecha Estimada de Entrega a  Cliente]],"")</f>
        <v/>
      </c>
      <c r="R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3" s="112" t="str">
        <f>IF(VEND[[#This Row],[STATUS]]="O.C","APROBADO",IF(VEND[[#This Row],[STATUS]]="PERDIDO","PERDIDO",IF(VEND[[#This Row],[STATUS]]="EN ESPERA","EN ESPERA")))</f>
        <v>PERDIDO</v>
      </c>
      <c r="T93" s="112" t="str">
        <f>IF(VEND[[#This Row],[STATUS]]="O.C","APROBADO",IF(VEND[[#This Row],[STATUS]]="PERDIDO","PERDIDO",IF(VEND[[#This Row],[STATUS]]="EN ESPERA","EN ESPERA")))</f>
        <v>PERDIDO</v>
      </c>
      <c r="U93" s="55" t="s">
        <v>23</v>
      </c>
      <c r="V93" s="55" t="s">
        <v>23</v>
      </c>
      <c r="W93" s="55" t="s">
        <v>1409</v>
      </c>
      <c r="X93" s="112"/>
    </row>
    <row r="94" spans="2:24" ht="15.75" x14ac:dyDescent="0.25">
      <c r="B94" s="232">
        <v>44264</v>
      </c>
      <c r="C94" s="71" t="str">
        <f>TEXT(VEND[[#This Row],[Fecha de Envío
Cotización]],"mmmm")</f>
        <v>marzo</v>
      </c>
      <c r="D94" s="66" t="s">
        <v>1163</v>
      </c>
      <c r="E94" s="125" t="s">
        <v>83</v>
      </c>
      <c r="F94" s="93">
        <v>44291</v>
      </c>
      <c r="G94" s="93" t="str">
        <f>TEXT(VEND[[#This Row],[Fecha Recibe
O.C]],"mmmm")</f>
        <v>abril</v>
      </c>
      <c r="H94" s="112" t="s">
        <v>1195</v>
      </c>
      <c r="I94" s="112" t="s">
        <v>1242</v>
      </c>
      <c r="J94" s="112"/>
      <c r="K94" s="58">
        <v>1</v>
      </c>
      <c r="L94" s="123">
        <v>5900</v>
      </c>
      <c r="M94" s="55"/>
      <c r="N94" s="112"/>
      <c r="O94" s="212">
        <f>IF(VEND[[#This Row],[STATUS]]="O.C",(VEND[[#This Row],[Fecha Recibe
O.C]]+VEND[[#This Row],[Dias
entrega ]]),"")</f>
        <v>44291</v>
      </c>
      <c r="P94" s="212"/>
      <c r="Q94" s="58">
        <f>IFERROR(VEND[[#This Row],[Fecha de Despacho]]-VEND[[#This Row],[Fecha Estimada de Entrega a  Cliente]],"")</f>
        <v>-44291</v>
      </c>
      <c r="R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4" s="112" t="str">
        <f>IF(VEND[[#This Row],[STATUS]]="O.C","APROBADO",IF(VEND[[#This Row],[STATUS]]="PERDIDO","PERDIDO",IF(VEND[[#This Row],[STATUS]]="EN ESPERA","EN ESPERA")))</f>
        <v>APROBADO</v>
      </c>
      <c r="T94" s="112" t="str">
        <f>IF(VEND[[#This Row],[STATUS]]="O.C","APROBADO",IF(VEND[[#This Row],[STATUS]]="PERDIDO","PERDIDO",IF(VEND[[#This Row],[STATUS]]="EN ESPERA","EN ESPERA")))</f>
        <v>APROBADO</v>
      </c>
      <c r="U94" s="55" t="s">
        <v>46</v>
      </c>
      <c r="V94" s="55" t="s">
        <v>46</v>
      </c>
      <c r="W94" s="112" t="s">
        <v>1401</v>
      </c>
      <c r="X94" s="112">
        <v>934</v>
      </c>
    </row>
    <row r="95" spans="2:24" ht="15.75" x14ac:dyDescent="0.25">
      <c r="B95" s="71">
        <v>44265</v>
      </c>
      <c r="C95" s="71" t="str">
        <f>TEXT(VEND[[#This Row],[Fecha de Envío
Cotización]],"mmmm")</f>
        <v>marzo</v>
      </c>
      <c r="D95" s="112" t="s">
        <v>945</v>
      </c>
      <c r="E95" s="125" t="s">
        <v>42</v>
      </c>
      <c r="F95" s="92" t="str">
        <f>IF(VEND[[#This Row],[STATUS]]="PERDIDO","N/A","En espera")</f>
        <v>N/A</v>
      </c>
      <c r="G95" s="125" t="str">
        <f>TEXT(VEND[[#This Row],[Fecha Recibe
O.C]],"mmmm")</f>
        <v>N/A</v>
      </c>
      <c r="H95" s="112">
        <v>20027</v>
      </c>
      <c r="I95" s="55" t="s">
        <v>31</v>
      </c>
      <c r="J95" s="112"/>
      <c r="K95" s="58">
        <v>3</v>
      </c>
      <c r="L95" s="123">
        <v>1224</v>
      </c>
      <c r="M95" s="55" t="s">
        <v>22</v>
      </c>
      <c r="N95" s="112">
        <v>0</v>
      </c>
      <c r="O95" s="212" t="str">
        <f>IF(VEND[[#This Row],[STATUS]]="O.C",(VEND[[#This Row],[Fecha Recibe
O.C]]+VEND[[#This Row],[Dias
entrega ]]),"")</f>
        <v/>
      </c>
      <c r="P95" s="212"/>
      <c r="Q95" s="58" t="str">
        <f>IFERROR(VEND[[#This Row],[Fecha de Despacho]]-VEND[[#This Row],[Fecha Estimada de Entrega a  Cliente]],"")</f>
        <v/>
      </c>
      <c r="R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5" s="112" t="str">
        <f>IF(VEND[[#This Row],[STATUS]]="O.C","APROBADO",IF(VEND[[#This Row],[STATUS]]="PERDIDO","PERDIDO",IF(VEND[[#This Row],[STATUS]]="EN ESPERA","EN ESPERA")))</f>
        <v>PERDIDO</v>
      </c>
      <c r="T95" s="112" t="str">
        <f>IF(VEND[[#This Row],[STATUS]]="O.C","APROBADO",IF(VEND[[#This Row],[STATUS]]="PERDIDO","PERDIDO",IF(VEND[[#This Row],[STATUS]]="EN ESPERA","EN ESPERA")))</f>
        <v>PERDIDO</v>
      </c>
      <c r="U95" s="55" t="s">
        <v>23</v>
      </c>
      <c r="V95" s="55" t="s">
        <v>23</v>
      </c>
      <c r="W95" s="112" t="s">
        <v>1410</v>
      </c>
      <c r="X95" s="112" t="s">
        <v>43</v>
      </c>
    </row>
    <row r="96" spans="2:24" ht="15.75" x14ac:dyDescent="0.25">
      <c r="B96" s="71">
        <v>44265</v>
      </c>
      <c r="C96" s="71" t="str">
        <f>TEXT(VEND[[#This Row],[Fecha de Envío
Cotización]],"mmmm")</f>
        <v>marzo</v>
      </c>
      <c r="D96" s="112" t="s">
        <v>50</v>
      </c>
      <c r="E96" s="125" t="s">
        <v>42</v>
      </c>
      <c r="F96" s="92" t="str">
        <f>IF(VEND[[#This Row],[STATUS]]="PERDIDO","N/A","En espera")</f>
        <v>N/A</v>
      </c>
      <c r="G96" s="125" t="str">
        <f>TEXT(VEND[[#This Row],[Fecha Recibe
O.C]],"mmmm")</f>
        <v>N/A</v>
      </c>
      <c r="H96" s="112">
        <v>20137</v>
      </c>
      <c r="I96" s="55" t="s">
        <v>55</v>
      </c>
      <c r="J96" s="112"/>
      <c r="K96" s="58">
        <v>1</v>
      </c>
      <c r="L96" s="123">
        <v>25457</v>
      </c>
      <c r="M96" s="55" t="s">
        <v>56</v>
      </c>
      <c r="N96" s="112">
        <v>42</v>
      </c>
      <c r="O96" s="212" t="str">
        <f>IF(VEND[[#This Row],[STATUS]]="O.C",(VEND[[#This Row],[Fecha Recibe
O.C]]+VEND[[#This Row],[Dias
entrega ]]),"")</f>
        <v/>
      </c>
      <c r="P96" s="212"/>
      <c r="Q96" s="58" t="str">
        <f>IFERROR(VEND[[#This Row],[Fecha de Despacho]]-VEND[[#This Row],[Fecha Estimada de Entrega a  Cliente]],"")</f>
        <v/>
      </c>
      <c r="R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6" s="112" t="str">
        <f>IF(VEND[[#This Row],[STATUS]]="O.C","APROBADO",IF(VEND[[#This Row],[STATUS]]="PERDIDO","PERDIDO",IF(VEND[[#This Row],[STATUS]]="EN ESPERA","EN ESPERA")))</f>
        <v>PERDIDO</v>
      </c>
      <c r="T96" s="112" t="str">
        <f>IF(VEND[[#This Row],[STATUS]]="O.C","APROBADO",IF(VEND[[#This Row],[STATUS]]="PERDIDO","PERDIDO",IF(VEND[[#This Row],[STATUS]]="EN ESPERA","EN ESPERA")))</f>
        <v>PERDIDO</v>
      </c>
      <c r="U96" s="55" t="s">
        <v>23</v>
      </c>
      <c r="V96" s="55" t="s">
        <v>23</v>
      </c>
      <c r="W96" s="112" t="s">
        <v>1401</v>
      </c>
      <c r="X96" s="112"/>
    </row>
    <row r="97" spans="2:24" ht="15.75" x14ac:dyDescent="0.25">
      <c r="B97" s="71">
        <v>44265</v>
      </c>
      <c r="C97" s="71" t="str">
        <f>TEXT(VEND[[#This Row],[Fecha de Envío
Cotización]],"mmmm")</f>
        <v>marzo</v>
      </c>
      <c r="D97" s="112" t="s">
        <v>50</v>
      </c>
      <c r="E97" s="125" t="s">
        <v>42</v>
      </c>
      <c r="F97" s="92" t="str">
        <f>IF(VEND[[#This Row],[STATUS]]="PERDIDO","N/A","En espera")</f>
        <v>N/A</v>
      </c>
      <c r="G97" s="125" t="str">
        <f>TEXT(VEND[[#This Row],[Fecha Recibe
O.C]],"mmmm")</f>
        <v>N/A</v>
      </c>
      <c r="H97" s="112">
        <v>20140</v>
      </c>
      <c r="I97" s="55" t="s">
        <v>33</v>
      </c>
      <c r="J97" s="112"/>
      <c r="K97" s="58">
        <v>1</v>
      </c>
      <c r="L97" s="123">
        <v>725.21</v>
      </c>
      <c r="M97" s="55" t="s">
        <v>16</v>
      </c>
      <c r="N97" s="112">
        <v>21</v>
      </c>
      <c r="O97" s="212" t="str">
        <f>IF(VEND[[#This Row],[STATUS]]="O.C",(VEND[[#This Row],[Fecha Recibe
O.C]]+VEND[[#This Row],[Dias
entrega ]]),"")</f>
        <v/>
      </c>
      <c r="P97" s="212"/>
      <c r="Q97" s="58" t="str">
        <f>IFERROR(VEND[[#This Row],[Fecha de Despacho]]-VEND[[#This Row],[Fecha Estimada de Entrega a  Cliente]],"")</f>
        <v/>
      </c>
      <c r="R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7" s="112" t="str">
        <f>IF(VEND[[#This Row],[STATUS]]="O.C","APROBADO",IF(VEND[[#This Row],[STATUS]]="PERDIDO","PERDIDO",IF(VEND[[#This Row],[STATUS]]="EN ESPERA","EN ESPERA")))</f>
        <v>PERDIDO</v>
      </c>
      <c r="T97" s="112" t="str">
        <f>IF(VEND[[#This Row],[STATUS]]="O.C","APROBADO",IF(VEND[[#This Row],[STATUS]]="PERDIDO","PERDIDO",IF(VEND[[#This Row],[STATUS]]="EN ESPERA","EN ESPERA")))</f>
        <v>PERDIDO</v>
      </c>
      <c r="U97" s="55" t="s">
        <v>23</v>
      </c>
      <c r="V97" s="55" t="s">
        <v>23</v>
      </c>
      <c r="W97" s="59" t="s">
        <v>1402</v>
      </c>
      <c r="X97" s="112"/>
    </row>
    <row r="98" spans="2:24" ht="15.75" x14ac:dyDescent="0.25">
      <c r="B98" s="71">
        <v>44265</v>
      </c>
      <c r="C98" s="71" t="str">
        <f>TEXT(VEND[[#This Row],[Fecha de Envío
Cotización]],"mmmm")</f>
        <v>marzo</v>
      </c>
      <c r="D98" s="112" t="s">
        <v>50</v>
      </c>
      <c r="E98" s="125" t="s">
        <v>42</v>
      </c>
      <c r="F98" s="92" t="str">
        <f>IF(VEND[[#This Row],[STATUS]]="PERDIDO","N/A","En espera")</f>
        <v>N/A</v>
      </c>
      <c r="G98" s="125" t="str">
        <f>TEXT(VEND[[#This Row],[Fecha Recibe
O.C]],"mmmm")</f>
        <v>N/A</v>
      </c>
      <c r="H98" s="112">
        <v>20141</v>
      </c>
      <c r="I98" s="55" t="s">
        <v>33</v>
      </c>
      <c r="J98" s="112"/>
      <c r="K98" s="58">
        <v>1</v>
      </c>
      <c r="L98" s="123">
        <v>1073.5999999999999</v>
      </c>
      <c r="M98" s="55" t="s">
        <v>16</v>
      </c>
      <c r="N98" s="112">
        <v>21</v>
      </c>
      <c r="O98" s="212" t="str">
        <f>IF(VEND[[#This Row],[STATUS]]="O.C",(VEND[[#This Row],[Fecha Recibe
O.C]]+VEND[[#This Row],[Dias
entrega ]]),"")</f>
        <v/>
      </c>
      <c r="P98" s="212"/>
      <c r="Q98" s="58" t="str">
        <f>IFERROR(VEND[[#This Row],[Fecha de Despacho]]-VEND[[#This Row],[Fecha Estimada de Entrega a  Cliente]],"")</f>
        <v/>
      </c>
      <c r="R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8" s="112" t="str">
        <f>IF(VEND[[#This Row],[STATUS]]="O.C","APROBADO",IF(VEND[[#This Row],[STATUS]]="PERDIDO","PERDIDO",IF(VEND[[#This Row],[STATUS]]="EN ESPERA","EN ESPERA")))</f>
        <v>PERDIDO</v>
      </c>
      <c r="T98" s="112" t="str">
        <f>IF(VEND[[#This Row],[STATUS]]="O.C","APROBADO",IF(VEND[[#This Row],[STATUS]]="PERDIDO","PERDIDO",IF(VEND[[#This Row],[STATUS]]="EN ESPERA","EN ESPERA")))</f>
        <v>PERDIDO</v>
      </c>
      <c r="U98" s="55" t="s">
        <v>23</v>
      </c>
      <c r="V98" s="55" t="s">
        <v>23</v>
      </c>
      <c r="W98" s="59" t="s">
        <v>1402</v>
      </c>
      <c r="X98" s="112"/>
    </row>
    <row r="99" spans="2:24" ht="15.75" x14ac:dyDescent="0.25">
      <c r="B99" s="71">
        <v>44265</v>
      </c>
      <c r="C99" s="71" t="str">
        <f>TEXT(VEND[[#This Row],[Fecha de Envío
Cotización]],"mmmm")</f>
        <v>marzo</v>
      </c>
      <c r="D99" s="112" t="s">
        <v>944</v>
      </c>
      <c r="E99" s="125" t="s">
        <v>42</v>
      </c>
      <c r="F99" s="92" t="str">
        <f>IF(VEND[[#This Row],[STATUS]]="PERDIDO","N/A","En espera")</f>
        <v>N/A</v>
      </c>
      <c r="G99" s="125" t="str">
        <f>TEXT(VEND[[#This Row],[Fecha Recibe
O.C]],"mmmm")</f>
        <v>N/A</v>
      </c>
      <c r="H99" s="112">
        <v>29669</v>
      </c>
      <c r="I99" s="112" t="s">
        <v>75</v>
      </c>
      <c r="J99" s="112"/>
      <c r="K99" s="58">
        <v>1</v>
      </c>
      <c r="L99" s="123">
        <v>985.52</v>
      </c>
      <c r="M99" s="55" t="s">
        <v>22</v>
      </c>
      <c r="N99" s="112">
        <v>0</v>
      </c>
      <c r="O99" s="212" t="str">
        <f>IF(VEND[[#This Row],[STATUS]]="O.C",(VEND[[#This Row],[Fecha Recibe
O.C]]+VEND[[#This Row],[Dias
entrega ]]),"")</f>
        <v/>
      </c>
      <c r="P99" s="212"/>
      <c r="Q99" s="58" t="str">
        <f>IFERROR(VEND[[#This Row],[Fecha de Despacho]]-VEND[[#This Row],[Fecha Estimada de Entrega a  Cliente]],"")</f>
        <v/>
      </c>
      <c r="R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99" s="112" t="str">
        <f>IF(VEND[[#This Row],[STATUS]]="O.C","APROBADO",IF(VEND[[#This Row],[STATUS]]="PERDIDO","PERDIDO",IF(VEND[[#This Row],[STATUS]]="EN ESPERA","EN ESPERA")))</f>
        <v>PERDIDO</v>
      </c>
      <c r="T99" s="112" t="str">
        <f>IF(VEND[[#This Row],[STATUS]]="O.C","APROBADO",IF(VEND[[#This Row],[STATUS]]="PERDIDO","PERDIDO",IF(VEND[[#This Row],[STATUS]]="EN ESPERA","EN ESPERA")))</f>
        <v>PERDIDO</v>
      </c>
      <c r="U99" s="55" t="s">
        <v>23</v>
      </c>
      <c r="V99" s="55" t="s">
        <v>23</v>
      </c>
      <c r="W99" s="55" t="s">
        <v>1406</v>
      </c>
      <c r="X99" s="112" t="s">
        <v>80</v>
      </c>
    </row>
    <row r="100" spans="2:24" ht="15.75" x14ac:dyDescent="0.25">
      <c r="B100" s="71">
        <v>44265</v>
      </c>
      <c r="C100" s="71" t="str">
        <f>TEXT(VEND[[#This Row],[Fecha de Envío
Cotización]],"mmmm")</f>
        <v>marzo</v>
      </c>
      <c r="D100" s="66" t="s">
        <v>1163</v>
      </c>
      <c r="E100" s="125" t="s">
        <v>42</v>
      </c>
      <c r="F100" s="92" t="str">
        <f>IF(VEND[[#This Row],[STATUS]]="PERDIDO","N/A","En espera")</f>
        <v>N/A</v>
      </c>
      <c r="G100" s="125" t="str">
        <f>TEXT(VEND[[#This Row],[Fecha Recibe
O.C]],"mmmm")</f>
        <v>N/A</v>
      </c>
      <c r="H100" s="112" t="s">
        <v>1196</v>
      </c>
      <c r="I100" s="55" t="s">
        <v>1242</v>
      </c>
      <c r="J100" s="112"/>
      <c r="K100" s="58">
        <v>1</v>
      </c>
      <c r="L100" s="123">
        <v>510</v>
      </c>
      <c r="M100" s="55"/>
      <c r="N100" s="112"/>
      <c r="O100" s="212" t="str">
        <f>IF(VEND[[#This Row],[STATUS]]="O.C",(VEND[[#This Row],[Fecha Recibe
O.C]]+VEND[[#This Row],[Dias
entrega ]]),"")</f>
        <v/>
      </c>
      <c r="P100" s="212"/>
      <c r="Q100" s="58" t="str">
        <f>IFERROR(VEND[[#This Row],[Fecha de Despacho]]-VEND[[#This Row],[Fecha Estimada de Entrega a  Cliente]],"")</f>
        <v/>
      </c>
      <c r="R1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0" s="112" t="str">
        <f>IF(VEND[[#This Row],[STATUS]]="O.C","APROBADO",IF(VEND[[#This Row],[STATUS]]="PERDIDO","PERDIDO",IF(VEND[[#This Row],[STATUS]]="EN ESPERA","EN ESPERA")))</f>
        <v>PERDIDO</v>
      </c>
      <c r="T100" s="112" t="str">
        <f>IF(VEND[[#This Row],[STATUS]]="O.C","APROBADO",IF(VEND[[#This Row],[STATUS]]="PERDIDO","PERDIDO",IF(VEND[[#This Row],[STATUS]]="EN ESPERA","EN ESPERA")))</f>
        <v>PERDIDO</v>
      </c>
      <c r="U100" s="55" t="s">
        <v>23</v>
      </c>
      <c r="V100" s="55" t="s">
        <v>23</v>
      </c>
      <c r="W100" s="55" t="s">
        <v>1401</v>
      </c>
      <c r="X100" s="112"/>
    </row>
    <row r="101" spans="2:24" ht="15.75" x14ac:dyDescent="0.25">
      <c r="B101" s="71">
        <v>44266</v>
      </c>
      <c r="C101" s="71" t="str">
        <f>TEXT(VEND[[#This Row],[Fecha de Envío
Cotización]],"mmmm")</f>
        <v>marzo</v>
      </c>
      <c r="D101" s="112" t="s">
        <v>41</v>
      </c>
      <c r="E101" s="125" t="s">
        <v>42</v>
      </c>
      <c r="F101" s="92" t="str">
        <f>IF(VEND[[#This Row],[STATUS]]="PERDIDO","N/A","En espera")</f>
        <v>N/A</v>
      </c>
      <c r="G101" s="125" t="str">
        <f>TEXT(VEND[[#This Row],[Fecha Recibe
O.C]],"mmmm")</f>
        <v>N/A</v>
      </c>
      <c r="H101" s="112">
        <v>1500</v>
      </c>
      <c r="I101" s="112" t="s">
        <v>49</v>
      </c>
      <c r="J101" s="112"/>
      <c r="K101" s="58">
        <v>3</v>
      </c>
      <c r="L101" s="123">
        <v>567</v>
      </c>
      <c r="M101" s="55" t="s">
        <v>15</v>
      </c>
      <c r="N101" s="112">
        <v>14</v>
      </c>
      <c r="O101" s="212" t="str">
        <f>IF(VEND[[#This Row],[STATUS]]="O.C",(VEND[[#This Row],[Fecha Recibe
O.C]]+VEND[[#This Row],[Dias
entrega ]]),"")</f>
        <v/>
      </c>
      <c r="P101" s="212"/>
      <c r="Q101" s="58" t="str">
        <f>IFERROR(VEND[[#This Row],[Fecha de Despacho]]-VEND[[#This Row],[Fecha Estimada de Entrega a  Cliente]],"")</f>
        <v/>
      </c>
      <c r="R1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1" s="112" t="str">
        <f>IF(VEND[[#This Row],[STATUS]]="O.C","APROBADO",IF(VEND[[#This Row],[STATUS]]="PERDIDO","PERDIDO",IF(VEND[[#This Row],[STATUS]]="EN ESPERA","EN ESPERA")))</f>
        <v>PERDIDO</v>
      </c>
      <c r="T101" s="112" t="str">
        <f>IF(VEND[[#This Row],[STATUS]]="O.C","APROBADO",IF(VEND[[#This Row],[STATUS]]="PERDIDO","PERDIDO",IF(VEND[[#This Row],[STATUS]]="EN ESPERA","EN ESPERA")))</f>
        <v>PERDIDO</v>
      </c>
      <c r="U101" s="55" t="s">
        <v>23</v>
      </c>
      <c r="V101" s="55" t="s">
        <v>23</v>
      </c>
      <c r="W101" s="112" t="s">
        <v>1406</v>
      </c>
      <c r="X101" s="112" t="s">
        <v>48</v>
      </c>
    </row>
    <row r="102" spans="2:24" ht="15.75" x14ac:dyDescent="0.25">
      <c r="B102" s="71">
        <v>44266</v>
      </c>
      <c r="C102" s="71" t="str">
        <f>TEXT(VEND[[#This Row],[Fecha de Envío
Cotización]],"mmmm")</f>
        <v>marzo</v>
      </c>
      <c r="D102" s="112" t="s">
        <v>945</v>
      </c>
      <c r="E102" s="125" t="s">
        <v>42</v>
      </c>
      <c r="F102" s="125" t="str">
        <f>IF(VEND[[#This Row],[STATUS]]="PERDIDO","N/A","En espera")</f>
        <v>N/A</v>
      </c>
      <c r="G102" s="125" t="str">
        <f>TEXT(VEND[[#This Row],[Fecha Recibe
O.C]],"mmmm")</f>
        <v>N/A</v>
      </c>
      <c r="H102" s="112">
        <v>20028</v>
      </c>
      <c r="I102" s="55" t="s">
        <v>13</v>
      </c>
      <c r="J102" s="112"/>
      <c r="K102" s="58">
        <v>1</v>
      </c>
      <c r="L102" s="123">
        <v>1380</v>
      </c>
      <c r="M102" s="55" t="s">
        <v>22</v>
      </c>
      <c r="N102" s="112">
        <v>0</v>
      </c>
      <c r="O102" s="212" t="str">
        <f>IF(VEND[[#This Row],[STATUS]]="O.C",(VEND[[#This Row],[Fecha Recibe
O.C]]+VEND[[#This Row],[Dias
entrega ]]),"")</f>
        <v/>
      </c>
      <c r="P102" s="212"/>
      <c r="Q102" s="58" t="str">
        <f>IFERROR(VEND[[#This Row],[Fecha de Despacho]]-VEND[[#This Row],[Fecha Estimada de Entrega a  Cliente]],"")</f>
        <v/>
      </c>
      <c r="R1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2" s="112" t="str">
        <f>IF(VEND[[#This Row],[STATUS]]="O.C","APROBADO",IF(VEND[[#This Row],[STATUS]]="PERDIDO","PERDIDO",IF(VEND[[#This Row],[STATUS]]="EN ESPERA","EN ESPERA")))</f>
        <v>PERDIDO</v>
      </c>
      <c r="T102" s="112" t="str">
        <f>IF(VEND[[#This Row],[STATUS]]="O.C","APROBADO",IF(VEND[[#This Row],[STATUS]]="PERDIDO","PERDIDO",IF(VEND[[#This Row],[STATUS]]="EN ESPERA","EN ESPERA")))</f>
        <v>PERDIDO</v>
      </c>
      <c r="U102" s="55" t="s">
        <v>23</v>
      </c>
      <c r="V102" s="55" t="s">
        <v>23</v>
      </c>
      <c r="W102" s="59" t="s">
        <v>1405</v>
      </c>
      <c r="X102" s="112" t="s">
        <v>43</v>
      </c>
    </row>
    <row r="103" spans="2:24" ht="15.75" x14ac:dyDescent="0.25">
      <c r="B103" s="71">
        <v>44266</v>
      </c>
      <c r="C103" s="71" t="str">
        <f>TEXT(VEND[[#This Row],[Fecha de Envío
Cotización]],"mmmm")</f>
        <v>marzo</v>
      </c>
      <c r="D103" s="112" t="s">
        <v>50</v>
      </c>
      <c r="E103" s="125" t="s">
        <v>42</v>
      </c>
      <c r="F103" s="125" t="str">
        <f>IF(VEND[[#This Row],[STATUS]]="PERDIDO","N/A","En espera")</f>
        <v>N/A</v>
      </c>
      <c r="G103" s="125" t="str">
        <f>TEXT(VEND[[#This Row],[Fecha Recibe
O.C]],"mmmm")</f>
        <v>N/A</v>
      </c>
      <c r="H103" s="112">
        <v>20142</v>
      </c>
      <c r="I103" s="112" t="s">
        <v>109</v>
      </c>
      <c r="J103" s="112"/>
      <c r="K103" s="58">
        <v>3</v>
      </c>
      <c r="L103" s="123">
        <v>676.7</v>
      </c>
      <c r="M103" s="55" t="s">
        <v>16</v>
      </c>
      <c r="N103" s="112">
        <v>21</v>
      </c>
      <c r="O103" s="212" t="str">
        <f>IF(VEND[[#This Row],[STATUS]]="O.C",(VEND[[#This Row],[Fecha Recibe
O.C]]+VEND[[#This Row],[Dias
entrega ]]),"")</f>
        <v/>
      </c>
      <c r="P103" s="212"/>
      <c r="Q103" s="58" t="str">
        <f>IFERROR(VEND[[#This Row],[Fecha de Despacho]]-VEND[[#This Row],[Fecha Estimada de Entrega a  Cliente]],"")</f>
        <v/>
      </c>
      <c r="R1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3" s="112" t="str">
        <f>IF(VEND[[#This Row],[STATUS]]="O.C","APROBADO",IF(VEND[[#This Row],[STATUS]]="PERDIDO","PERDIDO",IF(VEND[[#This Row],[STATUS]]="EN ESPERA","EN ESPERA")))</f>
        <v>PERDIDO</v>
      </c>
      <c r="T103" s="112" t="str">
        <f>IF(VEND[[#This Row],[STATUS]]="O.C","APROBADO",IF(VEND[[#This Row],[STATUS]]="PERDIDO","PERDIDO",IF(VEND[[#This Row],[STATUS]]="EN ESPERA","EN ESPERA")))</f>
        <v>PERDIDO</v>
      </c>
      <c r="U103" s="55" t="s">
        <v>23</v>
      </c>
      <c r="V103" s="55" t="s">
        <v>23</v>
      </c>
      <c r="W103" s="55" t="s">
        <v>1401</v>
      </c>
      <c r="X103" s="112"/>
    </row>
    <row r="104" spans="2:24" ht="15.75" x14ac:dyDescent="0.25">
      <c r="B104" s="71">
        <v>44266</v>
      </c>
      <c r="C104" s="71" t="str">
        <f>TEXT(VEND[[#This Row],[Fecha de Envío
Cotización]],"mmmm")</f>
        <v>marzo</v>
      </c>
      <c r="D104" s="112" t="s">
        <v>68</v>
      </c>
      <c r="E104" s="125" t="s">
        <v>42</v>
      </c>
      <c r="F104" s="92" t="str">
        <f>IF(VEND[[#This Row],[STATUS]]="PERDIDO","N/A","En espera")</f>
        <v>N/A</v>
      </c>
      <c r="G104" s="125" t="str">
        <f>TEXT(VEND[[#This Row],[Fecha Recibe
O.C]],"mmmm")</f>
        <v>N/A</v>
      </c>
      <c r="H104" s="112">
        <v>20712</v>
      </c>
      <c r="I104" s="112" t="s">
        <v>96</v>
      </c>
      <c r="J104" s="112" t="s">
        <v>38</v>
      </c>
      <c r="K104" s="58">
        <v>6</v>
      </c>
      <c r="L104" s="123">
        <v>1727.99</v>
      </c>
      <c r="M104" s="55" t="s">
        <v>22</v>
      </c>
      <c r="N104" s="112">
        <v>0</v>
      </c>
      <c r="O104" s="212" t="str">
        <f>IF(VEND[[#This Row],[STATUS]]="O.C",(VEND[[#This Row],[Fecha Recibe
O.C]]+VEND[[#This Row],[Dias
entrega ]]),"")</f>
        <v/>
      </c>
      <c r="P104" s="212"/>
      <c r="Q104" s="58" t="str">
        <f>IFERROR(VEND[[#This Row],[Fecha de Despacho]]-VEND[[#This Row],[Fecha Estimada de Entrega a  Cliente]],"")</f>
        <v/>
      </c>
      <c r="R1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4" s="112" t="str">
        <f>IF(VEND[[#This Row],[STATUS]]="O.C","APROBADO",IF(VEND[[#This Row],[STATUS]]="PERDIDO","PERDIDO",IF(VEND[[#This Row],[STATUS]]="EN ESPERA","EN ESPERA")))</f>
        <v>PERDIDO</v>
      </c>
      <c r="T104" s="112" t="str">
        <f>IF(VEND[[#This Row],[STATUS]]="O.C","APROBADO",IF(VEND[[#This Row],[STATUS]]="PERDIDO","PERDIDO",IF(VEND[[#This Row],[STATUS]]="EN ESPERA","EN ESPERA")))</f>
        <v>PERDIDO</v>
      </c>
      <c r="U104" s="55" t="s">
        <v>23</v>
      </c>
      <c r="V104" s="55" t="s">
        <v>23</v>
      </c>
      <c r="W104" s="55" t="s">
        <v>1402</v>
      </c>
      <c r="X104" s="112" t="s">
        <v>141</v>
      </c>
    </row>
    <row r="105" spans="2:24" ht="15.75" x14ac:dyDescent="0.25">
      <c r="B105" s="71">
        <v>44266</v>
      </c>
      <c r="C105" s="71" t="str">
        <f>TEXT(VEND[[#This Row],[Fecha de Envío
Cotización]],"mmmm")</f>
        <v>marzo</v>
      </c>
      <c r="D105" s="112" t="s">
        <v>944</v>
      </c>
      <c r="E105" s="125" t="s">
        <v>42</v>
      </c>
      <c r="F105" s="92" t="str">
        <f>IF(VEND[[#This Row],[STATUS]]="PERDIDO","N/A","En espera")</f>
        <v>N/A</v>
      </c>
      <c r="G105" s="125" t="str">
        <f>TEXT(VEND[[#This Row],[Fecha Recibe
O.C]],"mmmm")</f>
        <v>N/A</v>
      </c>
      <c r="H105" s="112">
        <v>29938</v>
      </c>
      <c r="I105" s="55" t="s">
        <v>28</v>
      </c>
      <c r="J105" s="112"/>
      <c r="K105" s="58">
        <v>1</v>
      </c>
      <c r="L105" s="123">
        <v>710</v>
      </c>
      <c r="M105" s="112" t="s">
        <v>22</v>
      </c>
      <c r="N105" s="112">
        <v>0</v>
      </c>
      <c r="O105" s="212" t="str">
        <f>IF(VEND[[#This Row],[STATUS]]="O.C",(VEND[[#This Row],[Fecha Recibe
O.C]]+VEND[[#This Row],[Dias
entrega ]]),"")</f>
        <v/>
      </c>
      <c r="P105" s="212"/>
      <c r="Q105" s="58" t="str">
        <f>IFERROR(VEND[[#This Row],[Fecha de Despacho]]-VEND[[#This Row],[Fecha Estimada de Entrega a  Cliente]],"")</f>
        <v/>
      </c>
      <c r="R1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5" s="112" t="str">
        <f>IF(VEND[[#This Row],[STATUS]]="O.C","APROBADO",IF(VEND[[#This Row],[STATUS]]="PERDIDO","PERDIDO",IF(VEND[[#This Row],[STATUS]]="EN ESPERA","EN ESPERA")))</f>
        <v>PERDIDO</v>
      </c>
      <c r="T105" s="112" t="str">
        <f>IF(VEND[[#This Row],[STATUS]]="O.C","APROBADO",IF(VEND[[#This Row],[STATUS]]="PERDIDO","PERDIDO",IF(VEND[[#This Row],[STATUS]]="EN ESPERA","EN ESPERA")))</f>
        <v>PERDIDO</v>
      </c>
      <c r="U105" s="112" t="s">
        <v>23</v>
      </c>
      <c r="V105" s="112" t="s">
        <v>23</v>
      </c>
      <c r="W105" s="55" t="s">
        <v>1401</v>
      </c>
      <c r="X105" s="112" t="s">
        <v>86</v>
      </c>
    </row>
    <row r="106" spans="2:24" ht="15.75" x14ac:dyDescent="0.25">
      <c r="B106" s="71">
        <v>44267</v>
      </c>
      <c r="C106" s="71" t="str">
        <f>TEXT(VEND[[#This Row],[Fecha de Envío
Cotización]],"mmmm")</f>
        <v>marzo</v>
      </c>
      <c r="D106" s="112" t="s">
        <v>41</v>
      </c>
      <c r="E106" s="125" t="s">
        <v>42</v>
      </c>
      <c r="F106" s="92" t="str">
        <f>IF(VEND[[#This Row],[STATUS]]="PERDIDO","N/A","En espera")</f>
        <v>N/A</v>
      </c>
      <c r="G106" s="125" t="str">
        <f>TEXT(VEND[[#This Row],[Fecha Recibe
O.C]],"mmmm")</f>
        <v>N/A</v>
      </c>
      <c r="H106" s="112">
        <v>1501</v>
      </c>
      <c r="I106" s="55" t="s">
        <v>61</v>
      </c>
      <c r="J106" s="112"/>
      <c r="K106" s="58">
        <v>1</v>
      </c>
      <c r="L106" s="123">
        <v>590</v>
      </c>
      <c r="M106" s="55" t="s">
        <v>22</v>
      </c>
      <c r="N106" s="112">
        <v>0</v>
      </c>
      <c r="O106" s="212" t="str">
        <f>IF(VEND[[#This Row],[STATUS]]="O.C",(VEND[[#This Row],[Fecha Recibe
O.C]]+VEND[[#This Row],[Dias
entrega ]]),"")</f>
        <v/>
      </c>
      <c r="P106" s="212"/>
      <c r="Q106" s="58" t="str">
        <f>IFERROR(VEND[[#This Row],[Fecha de Despacho]]-VEND[[#This Row],[Fecha Estimada de Entrega a  Cliente]],"")</f>
        <v/>
      </c>
      <c r="R1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6" s="112" t="str">
        <f>IF(VEND[[#This Row],[STATUS]]="O.C","APROBADO",IF(VEND[[#This Row],[STATUS]]="PERDIDO","PERDIDO",IF(VEND[[#This Row],[STATUS]]="EN ESPERA","EN ESPERA")))</f>
        <v>PERDIDO</v>
      </c>
      <c r="T106" s="112" t="str">
        <f>IF(VEND[[#This Row],[STATUS]]="O.C","APROBADO",IF(VEND[[#This Row],[STATUS]]="PERDIDO","PERDIDO",IF(VEND[[#This Row],[STATUS]]="EN ESPERA","EN ESPERA")))</f>
        <v>PERDIDO</v>
      </c>
      <c r="U106" s="55" t="s">
        <v>23</v>
      </c>
      <c r="V106" s="55" t="s">
        <v>23</v>
      </c>
      <c r="W106" s="55" t="s">
        <v>1402</v>
      </c>
      <c r="X106" s="112" t="s">
        <v>63</v>
      </c>
    </row>
    <row r="107" spans="2:24" ht="15.75" x14ac:dyDescent="0.25">
      <c r="B107" s="71">
        <v>44267</v>
      </c>
      <c r="C107" s="71" t="str">
        <f>TEXT(VEND[[#This Row],[Fecha de Envío
Cotización]],"mmmm")</f>
        <v>marzo</v>
      </c>
      <c r="D107" s="112" t="s">
        <v>41</v>
      </c>
      <c r="E107" s="125" t="s">
        <v>42</v>
      </c>
      <c r="F107" s="125" t="str">
        <f>IF(VEND[[#This Row],[STATUS]]="PERDIDO","N/A","En espera")</f>
        <v>N/A</v>
      </c>
      <c r="G107" s="125" t="str">
        <f>TEXT(VEND[[#This Row],[Fecha Recibe
O.C]],"mmmm")</f>
        <v>N/A</v>
      </c>
      <c r="H107" s="112">
        <v>1502</v>
      </c>
      <c r="I107" s="55" t="s">
        <v>61</v>
      </c>
      <c r="J107" s="112"/>
      <c r="K107" s="58">
        <v>1</v>
      </c>
      <c r="L107" s="123">
        <v>35</v>
      </c>
      <c r="M107" s="55" t="s">
        <v>62</v>
      </c>
      <c r="N107" s="112">
        <v>3</v>
      </c>
      <c r="O107" s="212" t="str">
        <f>IF(VEND[[#This Row],[STATUS]]="O.C",(VEND[[#This Row],[Fecha Recibe
O.C]]+VEND[[#This Row],[Dias
entrega ]]),"")</f>
        <v/>
      </c>
      <c r="P107" s="212"/>
      <c r="Q107" s="58" t="str">
        <f>IFERROR(VEND[[#This Row],[Fecha de Despacho]]-VEND[[#This Row],[Fecha Estimada de Entrega a  Cliente]],"")</f>
        <v/>
      </c>
      <c r="R1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7" s="112" t="str">
        <f>IF(VEND[[#This Row],[STATUS]]="O.C","APROBADO",IF(VEND[[#This Row],[STATUS]]="PERDIDO","PERDIDO",IF(VEND[[#This Row],[STATUS]]="EN ESPERA","EN ESPERA")))</f>
        <v>PERDIDO</v>
      </c>
      <c r="T107" s="112" t="str">
        <f>IF(VEND[[#This Row],[STATUS]]="O.C","APROBADO",IF(VEND[[#This Row],[STATUS]]="PERDIDO","PERDIDO",IF(VEND[[#This Row],[STATUS]]="EN ESPERA","EN ESPERA")))</f>
        <v>PERDIDO</v>
      </c>
      <c r="U107" s="55" t="s">
        <v>23</v>
      </c>
      <c r="V107" s="55" t="s">
        <v>23</v>
      </c>
      <c r="W107" s="55" t="s">
        <v>1402</v>
      </c>
      <c r="X107" s="112" t="s">
        <v>63</v>
      </c>
    </row>
    <row r="108" spans="2:24" ht="15.75" x14ac:dyDescent="0.25">
      <c r="B108" s="71">
        <v>44267</v>
      </c>
      <c r="C108" s="71" t="str">
        <f>TEXT(VEND[[#This Row],[Fecha de Envío
Cotización]],"mmmm")</f>
        <v>marzo</v>
      </c>
      <c r="D108" s="112" t="s">
        <v>68</v>
      </c>
      <c r="E108" s="125" t="s">
        <v>42</v>
      </c>
      <c r="F108" s="92" t="str">
        <f>IF(VEND[[#This Row],[STATUS]]="PERDIDO","N/A","En espera")</f>
        <v>N/A</v>
      </c>
      <c r="G108" s="125" t="str">
        <f>TEXT(VEND[[#This Row],[Fecha Recibe
O.C]],"mmmm")</f>
        <v>N/A</v>
      </c>
      <c r="H108" s="112">
        <v>20713</v>
      </c>
      <c r="I108" s="55" t="s">
        <v>96</v>
      </c>
      <c r="J108" s="112" t="s">
        <v>64</v>
      </c>
      <c r="K108" s="58">
        <v>1</v>
      </c>
      <c r="L108" s="123">
        <v>886.21</v>
      </c>
      <c r="M108" s="55" t="s">
        <v>22</v>
      </c>
      <c r="N108" s="112">
        <v>0</v>
      </c>
      <c r="O108" s="212" t="str">
        <f>IF(VEND[[#This Row],[STATUS]]="O.C",(VEND[[#This Row],[Fecha Recibe
O.C]]+VEND[[#This Row],[Dias
entrega ]]),"")</f>
        <v/>
      </c>
      <c r="P108" s="212"/>
      <c r="Q108" s="58" t="str">
        <f>IFERROR(VEND[[#This Row],[Fecha de Despacho]]-VEND[[#This Row],[Fecha Estimada de Entrega a  Cliente]],"")</f>
        <v/>
      </c>
      <c r="R10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8" s="112" t="str">
        <f>IF(VEND[[#This Row],[STATUS]]="O.C","APROBADO",IF(VEND[[#This Row],[STATUS]]="PERDIDO","PERDIDO",IF(VEND[[#This Row],[STATUS]]="EN ESPERA","EN ESPERA")))</f>
        <v>PERDIDO</v>
      </c>
      <c r="T108" s="112" t="str">
        <f>IF(VEND[[#This Row],[STATUS]]="O.C","APROBADO",IF(VEND[[#This Row],[STATUS]]="PERDIDO","PERDIDO",IF(VEND[[#This Row],[STATUS]]="EN ESPERA","EN ESPERA")))</f>
        <v>PERDIDO</v>
      </c>
      <c r="U108" s="55" t="s">
        <v>23</v>
      </c>
      <c r="V108" s="55" t="s">
        <v>23</v>
      </c>
      <c r="W108" s="55" t="s">
        <v>1402</v>
      </c>
      <c r="X108" s="112" t="s">
        <v>43</v>
      </c>
    </row>
    <row r="109" spans="2:24" ht="15.75" x14ac:dyDescent="0.25">
      <c r="B109" s="71">
        <v>44267</v>
      </c>
      <c r="C109" s="71" t="str">
        <f>TEXT(VEND[[#This Row],[Fecha de Envío
Cotización]],"mmmm")</f>
        <v>marzo</v>
      </c>
      <c r="D109" s="112" t="s">
        <v>944</v>
      </c>
      <c r="E109" s="125" t="s">
        <v>42</v>
      </c>
      <c r="F109" s="125" t="str">
        <f>IF(VEND[[#This Row],[STATUS]]="PERDIDO","N/A","En espera")</f>
        <v>N/A</v>
      </c>
      <c r="G109" s="125" t="str">
        <f>TEXT(VEND[[#This Row],[Fecha Recibe
O.C]],"mmmm")</f>
        <v>N/A</v>
      </c>
      <c r="H109" s="112">
        <v>30001</v>
      </c>
      <c r="I109" s="112" t="s">
        <v>74</v>
      </c>
      <c r="J109" s="112"/>
      <c r="K109" s="58">
        <v>1</v>
      </c>
      <c r="L109" s="123">
        <v>254.2</v>
      </c>
      <c r="M109" s="55" t="s">
        <v>73</v>
      </c>
      <c r="N109" s="112">
        <v>14</v>
      </c>
      <c r="O109" s="212" t="str">
        <f>IF(VEND[[#This Row],[STATUS]]="O.C",(VEND[[#This Row],[Fecha Recibe
O.C]]+VEND[[#This Row],[Dias
entrega ]]),"")</f>
        <v/>
      </c>
      <c r="P109" s="212"/>
      <c r="Q109" s="58" t="str">
        <f>IFERROR(VEND[[#This Row],[Fecha de Despacho]]-VEND[[#This Row],[Fecha Estimada de Entrega a  Cliente]],"")</f>
        <v/>
      </c>
      <c r="R1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09" s="112" t="str">
        <f>IF(VEND[[#This Row],[STATUS]]="O.C","APROBADO",IF(VEND[[#This Row],[STATUS]]="PERDIDO","PERDIDO",IF(VEND[[#This Row],[STATUS]]="EN ESPERA","EN ESPERA")))</f>
        <v>PERDIDO</v>
      </c>
      <c r="T109" s="112" t="str">
        <f>IF(VEND[[#This Row],[STATUS]]="O.C","APROBADO",IF(VEND[[#This Row],[STATUS]]="PERDIDO","PERDIDO",IF(VEND[[#This Row],[STATUS]]="EN ESPERA","EN ESPERA")))</f>
        <v>PERDIDO</v>
      </c>
      <c r="U109" s="55" t="s">
        <v>23</v>
      </c>
      <c r="V109" s="55" t="s">
        <v>23</v>
      </c>
      <c r="W109" s="112" t="s">
        <v>1406</v>
      </c>
      <c r="X109" s="112"/>
    </row>
    <row r="110" spans="2:24" ht="15.75" x14ac:dyDescent="0.25">
      <c r="B110" s="71">
        <v>44270</v>
      </c>
      <c r="C110" s="71" t="str">
        <f>TEXT(VEND[[#This Row],[Fecha de Envío
Cotización]],"mmmm")</f>
        <v>marzo</v>
      </c>
      <c r="D110" s="66" t="s">
        <v>945</v>
      </c>
      <c r="E110" s="125" t="s">
        <v>83</v>
      </c>
      <c r="F110" s="93">
        <v>44271</v>
      </c>
      <c r="G110" s="93" t="str">
        <f>TEXT(VEND[[#This Row],[Fecha Recibe
O.C]],"mmmm")</f>
        <v>marzo</v>
      </c>
      <c r="H110" s="112">
        <v>20028</v>
      </c>
      <c r="I110" s="112" t="s">
        <v>14</v>
      </c>
      <c r="J110" s="112"/>
      <c r="K110" s="58">
        <v>1</v>
      </c>
      <c r="L110" s="123">
        <v>770</v>
      </c>
      <c r="M110" s="55" t="s">
        <v>15</v>
      </c>
      <c r="N110" s="112">
        <v>14</v>
      </c>
      <c r="O110" s="212">
        <f>IF(VEND[[#This Row],[STATUS]]="O.C",(VEND[[#This Row],[Fecha Recibe
O.C]]+VEND[[#This Row],[Dias
entrega ]]),"")</f>
        <v>44285</v>
      </c>
      <c r="P110" s="212">
        <v>44280</v>
      </c>
      <c r="Q110" s="58">
        <f>IFERROR(VEND[[#This Row],[Fecha de Despacho]]-VEND[[#This Row],[Fecha Estimada de Entrega a  Cliente]],"")</f>
        <v>-5</v>
      </c>
      <c r="R1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0" s="112" t="str">
        <f>IF(VEND[[#This Row],[STATUS]]="O.C","APROBADO",IF(VEND[[#This Row],[STATUS]]="PERDIDO","PERDIDO",IF(VEND[[#This Row],[STATUS]]="EN ESPERA","EN ESPERA")))</f>
        <v>APROBADO</v>
      </c>
      <c r="T110" s="112" t="str">
        <f>IF(VEND[[#This Row],[STATUS]]="O.C","APROBADO",IF(VEND[[#This Row],[STATUS]]="PERDIDO","PERDIDO",IF(VEND[[#This Row],[STATUS]]="EN ESPERA","EN ESPERA")))</f>
        <v>APROBADO</v>
      </c>
      <c r="U110" s="55" t="s">
        <v>45</v>
      </c>
      <c r="V110" s="55" t="s">
        <v>47</v>
      </c>
      <c r="W110" s="112" t="s">
        <v>1402</v>
      </c>
      <c r="X110" s="112"/>
    </row>
    <row r="111" spans="2:24" ht="15.75" x14ac:dyDescent="0.25">
      <c r="B111" s="71">
        <v>44270</v>
      </c>
      <c r="C111" s="71" t="str">
        <f>TEXT(VEND[[#This Row],[Fecha de Envío
Cotización]],"mmmm")</f>
        <v>marzo</v>
      </c>
      <c r="D111" s="112" t="s">
        <v>945</v>
      </c>
      <c r="E111" s="125" t="s">
        <v>42</v>
      </c>
      <c r="F111" s="92" t="str">
        <f>IF(VEND[[#This Row],[STATUS]]="PERDIDO","N/A","En espera")</f>
        <v>N/A</v>
      </c>
      <c r="G111" s="125" t="str">
        <f>TEXT(VEND[[#This Row],[Fecha Recibe
O.C]],"mmmm")</f>
        <v>N/A</v>
      </c>
      <c r="H111" s="112">
        <v>20029</v>
      </c>
      <c r="I111" s="112" t="s">
        <v>85</v>
      </c>
      <c r="J111" s="112"/>
      <c r="K111" s="58">
        <v>1</v>
      </c>
      <c r="L111" s="123">
        <v>810</v>
      </c>
      <c r="M111" s="55" t="s">
        <v>22</v>
      </c>
      <c r="N111" s="112">
        <v>0</v>
      </c>
      <c r="O111" s="212" t="str">
        <f>IF(VEND[[#This Row],[STATUS]]="O.C",(VEND[[#This Row],[Fecha Recibe
O.C]]+VEND[[#This Row],[Dias
entrega ]]),"")</f>
        <v/>
      </c>
      <c r="P111" s="212"/>
      <c r="Q111" s="58" t="str">
        <f>IFERROR(VEND[[#This Row],[Fecha de Despacho]]-VEND[[#This Row],[Fecha Estimada de Entrega a  Cliente]],"")</f>
        <v/>
      </c>
      <c r="R1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1" s="112" t="str">
        <f>IF(VEND[[#This Row],[STATUS]]="O.C","APROBADO",IF(VEND[[#This Row],[STATUS]]="PERDIDO","PERDIDO",IF(VEND[[#This Row],[STATUS]]="EN ESPERA","EN ESPERA")))</f>
        <v>PERDIDO</v>
      </c>
      <c r="T111" s="112" t="str">
        <f>IF(VEND[[#This Row],[STATUS]]="O.C","APROBADO",IF(VEND[[#This Row],[STATUS]]="PERDIDO","PERDIDO",IF(VEND[[#This Row],[STATUS]]="EN ESPERA","EN ESPERA")))</f>
        <v>PERDIDO</v>
      </c>
      <c r="U111" s="55" t="s">
        <v>23</v>
      </c>
      <c r="V111" s="55" t="s">
        <v>23</v>
      </c>
      <c r="W111" s="112" t="s">
        <v>1401</v>
      </c>
      <c r="X111" s="112" t="s">
        <v>43</v>
      </c>
    </row>
    <row r="112" spans="2:24" ht="15.75" x14ac:dyDescent="0.25">
      <c r="B112" s="71">
        <v>44270</v>
      </c>
      <c r="C112" s="71" t="str">
        <f>TEXT(VEND[[#This Row],[Fecha de Envío
Cotización]],"mmmm")</f>
        <v>marzo</v>
      </c>
      <c r="D112" s="112" t="s">
        <v>50</v>
      </c>
      <c r="E112" s="125" t="s">
        <v>42</v>
      </c>
      <c r="F112" s="115" t="str">
        <f>IF(VEND[[#This Row],[STATUS]]="PERDIDO","N/A","En espera")</f>
        <v>N/A</v>
      </c>
      <c r="G112" s="125" t="str">
        <f>TEXT(VEND[[#This Row],[Fecha Recibe
O.C]],"mmmm")</f>
        <v>N/A</v>
      </c>
      <c r="H112" s="112">
        <v>20145</v>
      </c>
      <c r="I112" s="112" t="s">
        <v>33</v>
      </c>
      <c r="J112" s="112"/>
      <c r="K112" s="58">
        <v>1</v>
      </c>
      <c r="L112" s="123">
        <v>880</v>
      </c>
      <c r="M112" s="55" t="s">
        <v>16</v>
      </c>
      <c r="N112" s="112">
        <v>21</v>
      </c>
      <c r="O112" s="212" t="str">
        <f>IF(VEND[[#This Row],[STATUS]]="O.C",(VEND[[#This Row],[Fecha Recibe
O.C]]+VEND[[#This Row],[Dias
entrega ]]),"")</f>
        <v/>
      </c>
      <c r="P112" s="212"/>
      <c r="Q112" s="58" t="str">
        <f>IFERROR(VEND[[#This Row],[Fecha de Despacho]]-VEND[[#This Row],[Fecha Estimada de Entrega a  Cliente]],"")</f>
        <v/>
      </c>
      <c r="R1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2" s="112" t="str">
        <f>IF(VEND[[#This Row],[STATUS]]="O.C","APROBADO",IF(VEND[[#This Row],[STATUS]]="PERDIDO","PERDIDO",IF(VEND[[#This Row],[STATUS]]="EN ESPERA","EN ESPERA")))</f>
        <v>PERDIDO</v>
      </c>
      <c r="T112" s="112" t="str">
        <f>IF(VEND[[#This Row],[STATUS]]="O.C","APROBADO",IF(VEND[[#This Row],[STATUS]]="PERDIDO","PERDIDO",IF(VEND[[#This Row],[STATUS]]="EN ESPERA","EN ESPERA")))</f>
        <v>PERDIDO</v>
      </c>
      <c r="U112" s="55" t="s">
        <v>23</v>
      </c>
      <c r="V112" s="55" t="s">
        <v>23</v>
      </c>
      <c r="W112" s="59" t="s">
        <v>1402</v>
      </c>
      <c r="X112" s="112"/>
    </row>
    <row r="113" spans="2:24" ht="15.75" x14ac:dyDescent="0.25">
      <c r="B113" s="71">
        <v>44270</v>
      </c>
      <c r="C113" s="71" t="str">
        <f>TEXT(VEND[[#This Row],[Fecha de Envío
Cotización]],"mmmm")</f>
        <v>marzo</v>
      </c>
      <c r="D113" s="112" t="s">
        <v>50</v>
      </c>
      <c r="E113" s="125" t="s">
        <v>42</v>
      </c>
      <c r="F113" s="125" t="str">
        <f>IF(VEND[[#This Row],[STATUS]]="PERDIDO","N/A","En espera")</f>
        <v>N/A</v>
      </c>
      <c r="G113" s="125" t="str">
        <f>TEXT(VEND[[#This Row],[Fecha Recibe
O.C]],"mmmm")</f>
        <v>N/A</v>
      </c>
      <c r="H113" s="112">
        <v>20146</v>
      </c>
      <c r="I113" s="112" t="s">
        <v>125</v>
      </c>
      <c r="J113" s="112"/>
      <c r="K113" s="58">
        <v>1</v>
      </c>
      <c r="L113" s="123">
        <v>709.68</v>
      </c>
      <c r="M113" s="55" t="s">
        <v>51</v>
      </c>
      <c r="N113" s="112">
        <v>21</v>
      </c>
      <c r="O113" s="212" t="str">
        <f>IF(VEND[[#This Row],[STATUS]]="O.C",(VEND[[#This Row],[Fecha Recibe
O.C]]+VEND[[#This Row],[Dias
entrega ]]),"")</f>
        <v/>
      </c>
      <c r="P113" s="212"/>
      <c r="Q113" s="58" t="str">
        <f>IFERROR(VEND[[#This Row],[Fecha de Despacho]]-VEND[[#This Row],[Fecha Estimada de Entrega a  Cliente]],"")</f>
        <v/>
      </c>
      <c r="R1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3" s="112" t="str">
        <f>IF(VEND[[#This Row],[STATUS]]="O.C","APROBADO",IF(VEND[[#This Row],[STATUS]]="PERDIDO","PERDIDO",IF(VEND[[#This Row],[STATUS]]="EN ESPERA","EN ESPERA")))</f>
        <v>PERDIDO</v>
      </c>
      <c r="T113" s="112" t="str">
        <f>IF(VEND[[#This Row],[STATUS]]="O.C","APROBADO",IF(VEND[[#This Row],[STATUS]]="PERDIDO","PERDIDO",IF(VEND[[#This Row],[STATUS]]="EN ESPERA","EN ESPERA")))</f>
        <v>PERDIDO</v>
      </c>
      <c r="U113" s="55" t="s">
        <v>23</v>
      </c>
      <c r="V113" s="55" t="s">
        <v>23</v>
      </c>
      <c r="W113" s="112" t="s">
        <v>1401</v>
      </c>
      <c r="X113" s="112"/>
    </row>
    <row r="114" spans="2:24" ht="15.75" x14ac:dyDescent="0.25">
      <c r="B114" s="71">
        <v>44270</v>
      </c>
      <c r="C114" s="71" t="str">
        <f>TEXT(VEND[[#This Row],[Fecha de Envío
Cotización]],"mmmm")</f>
        <v>marzo</v>
      </c>
      <c r="D114" s="112" t="s">
        <v>68</v>
      </c>
      <c r="E114" s="125" t="s">
        <v>42</v>
      </c>
      <c r="F114" s="92" t="str">
        <f>IF(VEND[[#This Row],[STATUS]]="PERDIDO","N/A","En espera")</f>
        <v>N/A</v>
      </c>
      <c r="G114" s="125" t="str">
        <f>TEXT(VEND[[#This Row],[Fecha Recibe
O.C]],"mmmm")</f>
        <v>N/A</v>
      </c>
      <c r="H114" s="112">
        <v>20714</v>
      </c>
      <c r="I114" s="112" t="s">
        <v>96</v>
      </c>
      <c r="J114" s="112" t="s">
        <v>71</v>
      </c>
      <c r="K114" s="58">
        <v>3</v>
      </c>
      <c r="L114" s="123">
        <v>927.11</v>
      </c>
      <c r="M114" s="55" t="s">
        <v>39</v>
      </c>
      <c r="N114" s="112">
        <v>42</v>
      </c>
      <c r="O114" s="212" t="str">
        <f>IF(VEND[[#This Row],[STATUS]]="O.C",(VEND[[#This Row],[Fecha Recibe
O.C]]+VEND[[#This Row],[Dias
entrega ]]),"")</f>
        <v/>
      </c>
      <c r="P114" s="212"/>
      <c r="Q114" s="58" t="str">
        <f>IFERROR(VEND[[#This Row],[Fecha de Despacho]]-VEND[[#This Row],[Fecha Estimada de Entrega a  Cliente]],"")</f>
        <v/>
      </c>
      <c r="R1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4" s="112" t="str">
        <f>IF(VEND[[#This Row],[STATUS]]="O.C","APROBADO",IF(VEND[[#This Row],[STATUS]]="PERDIDO","PERDIDO",IF(VEND[[#This Row],[STATUS]]="EN ESPERA","EN ESPERA")))</f>
        <v>PERDIDO</v>
      </c>
      <c r="T114" s="112" t="str">
        <f>IF(VEND[[#This Row],[STATUS]]="O.C","APROBADO",IF(VEND[[#This Row],[STATUS]]="PERDIDO","PERDIDO",IF(VEND[[#This Row],[STATUS]]="EN ESPERA","EN ESPERA")))</f>
        <v>PERDIDO</v>
      </c>
      <c r="U114" s="55" t="s">
        <v>23</v>
      </c>
      <c r="V114" s="55" t="s">
        <v>23</v>
      </c>
      <c r="W114" s="112" t="s">
        <v>1402</v>
      </c>
      <c r="X114" s="112"/>
    </row>
    <row r="115" spans="2:24" ht="15.75" x14ac:dyDescent="0.25">
      <c r="B115" s="71">
        <v>44271</v>
      </c>
      <c r="C115" s="71" t="str">
        <f>TEXT(VEND[[#This Row],[Fecha de Envío
Cotización]],"mmmm")</f>
        <v>marzo</v>
      </c>
      <c r="D115" s="112" t="s">
        <v>41</v>
      </c>
      <c r="E115" s="125" t="s">
        <v>42</v>
      </c>
      <c r="F115" s="92" t="str">
        <f>IF(VEND[[#This Row],[STATUS]]="PERDIDO","N/A","En espera")</f>
        <v>N/A</v>
      </c>
      <c r="G115" s="125" t="str">
        <f>TEXT(VEND[[#This Row],[Fecha Recibe
O.C]],"mmmm")</f>
        <v>N/A</v>
      </c>
      <c r="H115" s="112">
        <v>1503</v>
      </c>
      <c r="I115" s="112" t="s">
        <v>52</v>
      </c>
      <c r="J115" s="112"/>
      <c r="K115" s="58">
        <v>1</v>
      </c>
      <c r="L115" s="123">
        <v>300</v>
      </c>
      <c r="M115" s="55" t="s">
        <v>22</v>
      </c>
      <c r="N115" s="112">
        <v>0</v>
      </c>
      <c r="O115" s="212" t="str">
        <f>IF(VEND[[#This Row],[STATUS]]="O.C",(VEND[[#This Row],[Fecha Recibe
O.C]]+VEND[[#This Row],[Dias
entrega ]]),"")</f>
        <v/>
      </c>
      <c r="P115" s="212"/>
      <c r="Q115" s="58" t="str">
        <f>IFERROR(VEND[[#This Row],[Fecha de Despacho]]-VEND[[#This Row],[Fecha Estimada de Entrega a  Cliente]],"")</f>
        <v/>
      </c>
      <c r="R1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5" s="112" t="str">
        <f>IF(VEND[[#This Row],[STATUS]]="O.C","APROBADO",IF(VEND[[#This Row],[STATUS]]="PERDIDO","PERDIDO",IF(VEND[[#This Row],[STATUS]]="EN ESPERA","EN ESPERA")))</f>
        <v>PERDIDO</v>
      </c>
      <c r="T115" s="112" t="str">
        <f>IF(VEND[[#This Row],[STATUS]]="O.C","APROBADO",IF(VEND[[#This Row],[STATUS]]="PERDIDO","PERDIDO",IF(VEND[[#This Row],[STATUS]]="EN ESPERA","EN ESPERA")))</f>
        <v>PERDIDO</v>
      </c>
      <c r="U115" s="55" t="s">
        <v>23</v>
      </c>
      <c r="V115" s="55" t="s">
        <v>23</v>
      </c>
      <c r="W115" s="112" t="s">
        <v>1402</v>
      </c>
      <c r="X115" s="112"/>
    </row>
    <row r="116" spans="2:24" ht="15.75" x14ac:dyDescent="0.25">
      <c r="B116" s="71">
        <v>44271</v>
      </c>
      <c r="C116" s="71" t="str">
        <f>TEXT(VEND[[#This Row],[Fecha de Envío
Cotización]],"mmmm")</f>
        <v>marzo</v>
      </c>
      <c r="D116" s="112" t="s">
        <v>945</v>
      </c>
      <c r="E116" s="125" t="s">
        <v>83</v>
      </c>
      <c r="F116" s="92">
        <v>44278</v>
      </c>
      <c r="G116" s="125" t="str">
        <f>TEXT(VEND[[#This Row],[Fecha Recibe
O.C]],"mmmm")</f>
        <v>marzo</v>
      </c>
      <c r="H116" s="112">
        <v>20030</v>
      </c>
      <c r="I116" s="112" t="s">
        <v>31</v>
      </c>
      <c r="J116" s="112"/>
      <c r="K116" s="58">
        <v>2</v>
      </c>
      <c r="L116" s="123">
        <v>696</v>
      </c>
      <c r="M116" s="55" t="s">
        <v>22</v>
      </c>
      <c r="N116" s="112">
        <v>0</v>
      </c>
      <c r="O116" s="212">
        <f>IF(VEND[[#This Row],[STATUS]]="O.C",(VEND[[#This Row],[Fecha Recibe
O.C]]+VEND[[#This Row],[Dias
entrega ]]),"")</f>
        <v>44278</v>
      </c>
      <c r="P116" s="212">
        <v>44279</v>
      </c>
      <c r="Q116" s="58">
        <f>IFERROR(VEND[[#This Row],[Fecha de Despacho]]-VEND[[#This Row],[Fecha Estimada de Entrega a  Cliente]],"")</f>
        <v>1</v>
      </c>
      <c r="R1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16" s="112" t="str">
        <f>IF(VEND[[#This Row],[STATUS]]="O.C","APROBADO",IF(VEND[[#This Row],[STATUS]]="PERDIDO","PERDIDO",IF(VEND[[#This Row],[STATUS]]="EN ESPERA","EN ESPERA")))</f>
        <v>APROBADO</v>
      </c>
      <c r="T116" s="112" t="str">
        <f>IF(VEND[[#This Row],[STATUS]]="O.C","APROBADO",IF(VEND[[#This Row],[STATUS]]="PERDIDO","PERDIDO",IF(VEND[[#This Row],[STATUS]]="EN ESPERA","EN ESPERA")))</f>
        <v>APROBADO</v>
      </c>
      <c r="U116" s="55" t="s">
        <v>45</v>
      </c>
      <c r="V116" s="55" t="s">
        <v>47</v>
      </c>
      <c r="W116" s="55" t="s">
        <v>1410</v>
      </c>
      <c r="X116" s="112"/>
    </row>
    <row r="117" spans="2:24" ht="15.75" x14ac:dyDescent="0.25">
      <c r="B117" s="71">
        <v>44271</v>
      </c>
      <c r="C117" s="71" t="str">
        <f>TEXT(VEND[[#This Row],[Fecha de Envío
Cotización]],"mmmm")</f>
        <v>marzo</v>
      </c>
      <c r="D117" s="112" t="s">
        <v>945</v>
      </c>
      <c r="E117" s="125" t="s">
        <v>42</v>
      </c>
      <c r="F117" s="92" t="str">
        <f>IF(VEND[[#This Row],[STATUS]]="PERDIDO","N/A","En espera")</f>
        <v>N/A</v>
      </c>
      <c r="G117" s="125" t="str">
        <f>TEXT(VEND[[#This Row],[Fecha Recibe
O.C]],"mmmm")</f>
        <v>N/A</v>
      </c>
      <c r="H117" s="112">
        <v>20031</v>
      </c>
      <c r="I117" s="112" t="s">
        <v>424</v>
      </c>
      <c r="J117" s="112"/>
      <c r="K117" s="58">
        <v>1</v>
      </c>
      <c r="L117" s="123">
        <v>850</v>
      </c>
      <c r="M117" s="55" t="s">
        <v>22</v>
      </c>
      <c r="N117" s="112">
        <v>0</v>
      </c>
      <c r="O117" s="212" t="str">
        <f>IF(VEND[[#This Row],[STATUS]]="O.C",(VEND[[#This Row],[Fecha Recibe
O.C]]+VEND[[#This Row],[Dias
entrega ]]),"")</f>
        <v/>
      </c>
      <c r="P117" s="212"/>
      <c r="Q117" s="58" t="str">
        <f>IFERROR(VEND[[#This Row],[Fecha de Despacho]]-VEND[[#This Row],[Fecha Estimada de Entrega a  Cliente]],"")</f>
        <v/>
      </c>
      <c r="R1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7" s="112" t="str">
        <f>IF(VEND[[#This Row],[STATUS]]="O.C","APROBADO",IF(VEND[[#This Row],[STATUS]]="PERDIDO","PERDIDO",IF(VEND[[#This Row],[STATUS]]="EN ESPERA","EN ESPERA")))</f>
        <v>PERDIDO</v>
      </c>
      <c r="T117" s="112" t="str">
        <f>IF(VEND[[#This Row],[STATUS]]="O.C","APROBADO",IF(VEND[[#This Row],[STATUS]]="PERDIDO","PERDIDO",IF(VEND[[#This Row],[STATUS]]="EN ESPERA","EN ESPERA")))</f>
        <v>PERDIDO</v>
      </c>
      <c r="U117" s="55" t="s">
        <v>23</v>
      </c>
      <c r="V117" s="55" t="s">
        <v>23</v>
      </c>
      <c r="W117" s="55" t="s">
        <v>1402</v>
      </c>
      <c r="X117" s="112" t="s">
        <v>43</v>
      </c>
    </row>
    <row r="118" spans="2:24" ht="15.75" x14ac:dyDescent="0.25">
      <c r="B118" s="71">
        <v>44271</v>
      </c>
      <c r="C118" s="71" t="str">
        <f>TEXT(VEND[[#This Row],[Fecha de Envío
Cotización]],"mmmm")</f>
        <v>marzo</v>
      </c>
      <c r="D118" s="112" t="s">
        <v>945</v>
      </c>
      <c r="E118" s="125" t="s">
        <v>42</v>
      </c>
      <c r="F118" s="92" t="str">
        <f>IF(VEND[[#This Row],[STATUS]]="PERDIDO","N/A","En espera")</f>
        <v>N/A</v>
      </c>
      <c r="G118" s="125" t="str">
        <f>TEXT(VEND[[#This Row],[Fecha Recibe
O.C]],"mmmm")</f>
        <v>N/A</v>
      </c>
      <c r="H118" s="112">
        <v>20032</v>
      </c>
      <c r="I118" s="55" t="s">
        <v>424</v>
      </c>
      <c r="J118" s="112"/>
      <c r="K118" s="58">
        <v>1</v>
      </c>
      <c r="L118" s="123">
        <v>225</v>
      </c>
      <c r="M118" s="55" t="s">
        <v>22</v>
      </c>
      <c r="N118" s="112">
        <v>0</v>
      </c>
      <c r="O118" s="212" t="str">
        <f>IF(VEND[[#This Row],[STATUS]]="O.C",(VEND[[#This Row],[Fecha Recibe
O.C]]+VEND[[#This Row],[Dias
entrega ]]),"")</f>
        <v/>
      </c>
      <c r="P118" s="212"/>
      <c r="Q118" s="58" t="str">
        <f>IFERROR(VEND[[#This Row],[Fecha de Despacho]]-VEND[[#This Row],[Fecha Estimada de Entrega a  Cliente]],"")</f>
        <v/>
      </c>
      <c r="R1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8" s="112" t="str">
        <f>IF(VEND[[#This Row],[STATUS]]="O.C","APROBADO",IF(VEND[[#This Row],[STATUS]]="PERDIDO","PERDIDO",IF(VEND[[#This Row],[STATUS]]="EN ESPERA","EN ESPERA")))</f>
        <v>PERDIDO</v>
      </c>
      <c r="T118" s="112" t="str">
        <f>IF(VEND[[#This Row],[STATUS]]="O.C","APROBADO",IF(VEND[[#This Row],[STATUS]]="PERDIDO","PERDIDO",IF(VEND[[#This Row],[STATUS]]="EN ESPERA","EN ESPERA")))</f>
        <v>PERDIDO</v>
      </c>
      <c r="U118" s="55" t="s">
        <v>23</v>
      </c>
      <c r="V118" s="55" t="s">
        <v>23</v>
      </c>
      <c r="W118" s="55" t="s">
        <v>1402</v>
      </c>
      <c r="X118" s="112" t="s">
        <v>43</v>
      </c>
    </row>
    <row r="119" spans="2:24" ht="15.75" x14ac:dyDescent="0.25">
      <c r="B119" s="71">
        <v>44271</v>
      </c>
      <c r="C119" s="71" t="str">
        <f>TEXT(VEND[[#This Row],[Fecha de Envío
Cotización]],"mmmm")</f>
        <v>marzo</v>
      </c>
      <c r="D119" s="66" t="s">
        <v>1163</v>
      </c>
      <c r="E119" s="125" t="s">
        <v>42</v>
      </c>
      <c r="F119" s="92" t="str">
        <f>IF(VEND[[#This Row],[STATUS]]="PERDIDO","N/A","En espera")</f>
        <v>N/A</v>
      </c>
      <c r="G119" s="125" t="str">
        <f>TEXT(VEND[[#This Row],[Fecha Recibe
O.C]],"mmmm")</f>
        <v>N/A</v>
      </c>
      <c r="H119" s="112" t="s">
        <v>1198</v>
      </c>
      <c r="I119" s="55" t="s">
        <v>1241</v>
      </c>
      <c r="J119" s="112"/>
      <c r="K119" s="58">
        <v>1</v>
      </c>
      <c r="L119" s="123">
        <v>5529</v>
      </c>
      <c r="M119" s="55"/>
      <c r="N119" s="112"/>
      <c r="O119" s="212" t="str">
        <f>IF(VEND[[#This Row],[STATUS]]="O.C",(VEND[[#This Row],[Fecha Recibe
O.C]]+VEND[[#This Row],[Dias
entrega ]]),"")</f>
        <v/>
      </c>
      <c r="P119" s="212"/>
      <c r="Q119" s="58" t="str">
        <f>IFERROR(VEND[[#This Row],[Fecha de Despacho]]-VEND[[#This Row],[Fecha Estimada de Entrega a  Cliente]],"")</f>
        <v/>
      </c>
      <c r="R1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19" s="112" t="str">
        <f>IF(VEND[[#This Row],[STATUS]]="O.C","APROBADO",IF(VEND[[#This Row],[STATUS]]="PERDIDO","PERDIDO",IF(VEND[[#This Row],[STATUS]]="EN ESPERA","EN ESPERA")))</f>
        <v>PERDIDO</v>
      </c>
      <c r="T119" s="112" t="str">
        <f>IF(VEND[[#This Row],[STATUS]]="O.C","APROBADO",IF(VEND[[#This Row],[STATUS]]="PERDIDO","PERDIDO",IF(VEND[[#This Row],[STATUS]]="EN ESPERA","EN ESPERA")))</f>
        <v>PERDIDO</v>
      </c>
      <c r="U119" s="55" t="s">
        <v>23</v>
      </c>
      <c r="V119" s="55" t="s">
        <v>23</v>
      </c>
      <c r="W119" s="55" t="s">
        <v>1409</v>
      </c>
      <c r="X119" s="112"/>
    </row>
    <row r="120" spans="2:24" ht="15.75" x14ac:dyDescent="0.25">
      <c r="B120" s="71">
        <v>44271</v>
      </c>
      <c r="C120" s="71" t="str">
        <f>TEXT(VEND[[#This Row],[Fecha de Envío
Cotización]],"mmmm")</f>
        <v>marzo</v>
      </c>
      <c r="D120" s="66" t="s">
        <v>1163</v>
      </c>
      <c r="E120" s="125" t="s">
        <v>42</v>
      </c>
      <c r="F120" s="92" t="str">
        <f>IF(VEND[[#This Row],[STATUS]]="PERDIDO","N/A","En espera")</f>
        <v>N/A</v>
      </c>
      <c r="G120" s="125" t="str">
        <f>TEXT(VEND[[#This Row],[Fecha Recibe
O.C]],"mmmm")</f>
        <v>N/A</v>
      </c>
      <c r="H120" s="112" t="s">
        <v>1199</v>
      </c>
      <c r="I120" s="55" t="s">
        <v>1241</v>
      </c>
      <c r="J120" s="112"/>
      <c r="K120" s="58">
        <v>1</v>
      </c>
      <c r="L120" s="123">
        <v>2398.6499999999996</v>
      </c>
      <c r="M120" s="55"/>
      <c r="N120" s="112"/>
      <c r="O120" s="212" t="str">
        <f>IF(VEND[[#This Row],[STATUS]]="O.C",(VEND[[#This Row],[Fecha Recibe
O.C]]+VEND[[#This Row],[Dias
entrega ]]),"")</f>
        <v/>
      </c>
      <c r="P120" s="212"/>
      <c r="Q120" s="58" t="str">
        <f>IFERROR(VEND[[#This Row],[Fecha de Despacho]]-VEND[[#This Row],[Fecha Estimada de Entrega a  Cliente]],"")</f>
        <v/>
      </c>
      <c r="R1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0" s="112" t="str">
        <f>IF(VEND[[#This Row],[STATUS]]="O.C","APROBADO",IF(VEND[[#This Row],[STATUS]]="PERDIDO","PERDIDO",IF(VEND[[#This Row],[STATUS]]="EN ESPERA","EN ESPERA")))</f>
        <v>PERDIDO</v>
      </c>
      <c r="T120" s="112" t="str">
        <f>IF(VEND[[#This Row],[STATUS]]="O.C","APROBADO",IF(VEND[[#This Row],[STATUS]]="PERDIDO","PERDIDO",IF(VEND[[#This Row],[STATUS]]="EN ESPERA","EN ESPERA")))</f>
        <v>PERDIDO</v>
      </c>
      <c r="U120" s="55" t="s">
        <v>23</v>
      </c>
      <c r="V120" s="55" t="s">
        <v>23</v>
      </c>
      <c r="W120" s="55" t="s">
        <v>1409</v>
      </c>
      <c r="X120" s="112"/>
    </row>
    <row r="121" spans="2:24" ht="15.75" x14ac:dyDescent="0.25">
      <c r="B121" s="71">
        <v>44271</v>
      </c>
      <c r="C121" s="71" t="str">
        <f>TEXT(VEND[[#This Row],[Fecha de Envío
Cotización]],"mmmm")</f>
        <v>marzo</v>
      </c>
      <c r="D121" s="66" t="s">
        <v>1163</v>
      </c>
      <c r="E121" s="125" t="s">
        <v>42</v>
      </c>
      <c r="F121" s="92" t="str">
        <f>IF(VEND[[#This Row],[STATUS]]="PERDIDO","N/A","En espera")</f>
        <v>N/A</v>
      </c>
      <c r="G121" s="125" t="str">
        <f>TEXT(VEND[[#This Row],[Fecha Recibe
O.C]],"mmmm")</f>
        <v>N/A</v>
      </c>
      <c r="H121" s="112" t="s">
        <v>1197</v>
      </c>
      <c r="I121" s="55" t="s">
        <v>1241</v>
      </c>
      <c r="J121" s="112"/>
      <c r="K121" s="58">
        <v>1</v>
      </c>
      <c r="L121" s="123">
        <v>17952</v>
      </c>
      <c r="M121" s="55"/>
      <c r="N121" s="112"/>
      <c r="O121" s="212" t="str">
        <f>IF(VEND[[#This Row],[STATUS]]="O.C",(VEND[[#This Row],[Fecha Recibe
O.C]]+VEND[[#This Row],[Dias
entrega ]]),"")</f>
        <v/>
      </c>
      <c r="P121" s="212"/>
      <c r="Q121" s="58" t="str">
        <f>IFERROR(VEND[[#This Row],[Fecha de Despacho]]-VEND[[#This Row],[Fecha Estimada de Entrega a  Cliente]],"")</f>
        <v/>
      </c>
      <c r="R1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1" s="112" t="str">
        <f>IF(VEND[[#This Row],[STATUS]]="O.C","APROBADO",IF(VEND[[#This Row],[STATUS]]="PERDIDO","PERDIDO",IF(VEND[[#This Row],[STATUS]]="EN ESPERA","EN ESPERA")))</f>
        <v>PERDIDO</v>
      </c>
      <c r="T121" s="112" t="str">
        <f>IF(VEND[[#This Row],[STATUS]]="O.C","APROBADO",IF(VEND[[#This Row],[STATUS]]="PERDIDO","PERDIDO",IF(VEND[[#This Row],[STATUS]]="EN ESPERA","EN ESPERA")))</f>
        <v>PERDIDO</v>
      </c>
      <c r="U121" s="55" t="s">
        <v>23</v>
      </c>
      <c r="V121" s="55" t="s">
        <v>23</v>
      </c>
      <c r="W121" s="112" t="s">
        <v>1409</v>
      </c>
      <c r="X121" s="112"/>
    </row>
    <row r="122" spans="2:24" ht="15.75" x14ac:dyDescent="0.25">
      <c r="B122" s="71">
        <v>44272</v>
      </c>
      <c r="C122" s="71" t="str">
        <f>TEXT(VEND[[#This Row],[Fecha de Envío
Cotización]],"mmmm")</f>
        <v>marzo</v>
      </c>
      <c r="D122" s="112" t="s">
        <v>41</v>
      </c>
      <c r="E122" s="125" t="s">
        <v>42</v>
      </c>
      <c r="F122" s="125" t="str">
        <f>IF(VEND[[#This Row],[STATUS]]="PERDIDO","N/A","En espera")</f>
        <v>N/A</v>
      </c>
      <c r="G122" s="125" t="str">
        <f>TEXT(VEND[[#This Row],[Fecha Recibe
O.C]],"mmmm")</f>
        <v>N/A</v>
      </c>
      <c r="H122" s="112">
        <v>1505</v>
      </c>
      <c r="I122" s="112" t="s">
        <v>82</v>
      </c>
      <c r="J122" s="112"/>
      <c r="K122" s="58">
        <v>1</v>
      </c>
      <c r="L122" s="123">
        <v>5640</v>
      </c>
      <c r="M122" s="55" t="s">
        <v>22</v>
      </c>
      <c r="N122" s="112">
        <v>0</v>
      </c>
      <c r="O122" s="212" t="str">
        <f>IF(VEND[[#This Row],[STATUS]]="O.C",(VEND[[#This Row],[Fecha Recibe
O.C]]+VEND[[#This Row],[Dias
entrega ]]),"")</f>
        <v/>
      </c>
      <c r="P122" s="212"/>
      <c r="Q122" s="58" t="str">
        <f>IFERROR(VEND[[#This Row],[Fecha de Despacho]]-VEND[[#This Row],[Fecha Estimada de Entrega a  Cliente]],"")</f>
        <v/>
      </c>
      <c r="R1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2" s="112" t="str">
        <f>IF(VEND[[#This Row],[STATUS]]="O.C","APROBADO",IF(VEND[[#This Row],[STATUS]]="PERDIDO","PERDIDO",IF(VEND[[#This Row],[STATUS]]="EN ESPERA","EN ESPERA")))</f>
        <v>PERDIDO</v>
      </c>
      <c r="T122" s="112" t="str">
        <f>IF(VEND[[#This Row],[STATUS]]="O.C","APROBADO",IF(VEND[[#This Row],[STATUS]]="PERDIDO","PERDIDO",IF(VEND[[#This Row],[STATUS]]="EN ESPERA","EN ESPERA")))</f>
        <v>PERDIDO</v>
      </c>
      <c r="U122" s="55" t="s">
        <v>23</v>
      </c>
      <c r="V122" s="55" t="s">
        <v>23</v>
      </c>
      <c r="W122" s="112" t="s">
        <v>1401</v>
      </c>
      <c r="X122" s="112"/>
    </row>
    <row r="123" spans="2:24" ht="15.75" x14ac:dyDescent="0.25">
      <c r="B123" s="71">
        <v>44272</v>
      </c>
      <c r="C123" s="71" t="str">
        <f>TEXT(VEND[[#This Row],[Fecha de Envío
Cotización]],"mmmm")</f>
        <v>marzo</v>
      </c>
      <c r="D123" s="112" t="s">
        <v>50</v>
      </c>
      <c r="E123" s="125" t="s">
        <v>42</v>
      </c>
      <c r="F123" s="92" t="str">
        <f>IF(VEND[[#This Row],[STATUS]]="PERDIDO","N/A","En espera")</f>
        <v>N/A</v>
      </c>
      <c r="G123" s="125" t="str">
        <f>TEXT(VEND[[#This Row],[Fecha Recibe
O.C]],"mmmm")</f>
        <v>N/A</v>
      </c>
      <c r="H123" s="112">
        <v>20148</v>
      </c>
      <c r="I123" s="112" t="s">
        <v>65</v>
      </c>
      <c r="J123" s="112"/>
      <c r="K123" s="58">
        <v>13</v>
      </c>
      <c r="L123" s="123">
        <v>12004.96</v>
      </c>
      <c r="M123" s="55" t="s">
        <v>36</v>
      </c>
      <c r="N123" s="112">
        <v>28</v>
      </c>
      <c r="O123" s="212" t="str">
        <f>IF(VEND[[#This Row],[STATUS]]="O.C",(VEND[[#This Row],[Fecha Recibe
O.C]]+VEND[[#This Row],[Dias
entrega ]]),"")</f>
        <v/>
      </c>
      <c r="P123" s="212"/>
      <c r="Q123" s="58" t="str">
        <f>IFERROR(VEND[[#This Row],[Fecha de Despacho]]-VEND[[#This Row],[Fecha Estimada de Entrega a  Cliente]],"")</f>
        <v/>
      </c>
      <c r="R1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3" s="112" t="str">
        <f>IF(VEND[[#This Row],[STATUS]]="O.C","APROBADO",IF(VEND[[#This Row],[STATUS]]="PERDIDO","PERDIDO",IF(VEND[[#This Row],[STATUS]]="EN ESPERA","EN ESPERA")))</f>
        <v>PERDIDO</v>
      </c>
      <c r="T123" s="112" t="str">
        <f>IF(VEND[[#This Row],[STATUS]]="O.C","APROBADO",IF(VEND[[#This Row],[STATUS]]="PERDIDO","PERDIDO",IF(VEND[[#This Row],[STATUS]]="EN ESPERA","EN ESPERA")))</f>
        <v>PERDIDO</v>
      </c>
      <c r="U123" s="55" t="s">
        <v>23</v>
      </c>
      <c r="V123" s="55" t="s">
        <v>23</v>
      </c>
      <c r="W123" s="112" t="s">
        <v>1402</v>
      </c>
      <c r="X123" s="112"/>
    </row>
    <row r="124" spans="2:24" s="105" customFormat="1" ht="15.75" x14ac:dyDescent="0.25">
      <c r="B124" s="71">
        <v>44272</v>
      </c>
      <c r="C124" s="71" t="str">
        <f>TEXT(VEND[[#This Row],[Fecha de Envío
Cotización]],"mmmm")</f>
        <v>marzo</v>
      </c>
      <c r="D124" s="112" t="s">
        <v>50</v>
      </c>
      <c r="E124" s="125" t="s">
        <v>83</v>
      </c>
      <c r="F124" s="98">
        <v>44285</v>
      </c>
      <c r="G124" s="125" t="str">
        <f>TEXT(VEND[[#This Row],[Fecha Recibe
O.C]],"mmmm")</f>
        <v>marzo</v>
      </c>
      <c r="H124" s="112">
        <v>20157</v>
      </c>
      <c r="I124" s="112" t="s">
        <v>33</v>
      </c>
      <c r="J124" s="112"/>
      <c r="K124" s="58">
        <v>2</v>
      </c>
      <c r="L124" s="123">
        <v>316.2</v>
      </c>
      <c r="M124" s="112" t="s">
        <v>16</v>
      </c>
      <c r="N124" s="112">
        <v>21</v>
      </c>
      <c r="O124" s="212">
        <f>IF(VEND[[#This Row],[STATUS]]="O.C",(VEND[[#This Row],[Fecha Recibe
O.C]]+VEND[[#This Row],[Dias
entrega ]]),"")</f>
        <v>44306</v>
      </c>
      <c r="P124" s="212">
        <v>44321</v>
      </c>
      <c r="Q124" s="58">
        <f>IFERROR(VEND[[#This Row],[Fecha de Despacho]]-VEND[[#This Row],[Fecha Estimada de Entrega a  Cliente]],"")</f>
        <v>15</v>
      </c>
      <c r="R1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24" s="112" t="str">
        <f>IF(VEND[[#This Row],[STATUS]]="O.C","APROBADO",IF(VEND[[#This Row],[STATUS]]="PERDIDO","PERDIDO",IF(VEND[[#This Row],[STATUS]]="EN ESPERA","EN ESPERA")))</f>
        <v>APROBADO</v>
      </c>
      <c r="T124" s="112" t="str">
        <f>IF(VEND[[#This Row],[STATUS]]="O.C","APROBADO",IF(VEND[[#This Row],[STATUS]]="PERDIDO","PERDIDO",IF(VEND[[#This Row],[STATUS]]="EN ESPERA","EN ESPERA")))</f>
        <v>APROBADO</v>
      </c>
      <c r="U124" s="112" t="s">
        <v>45</v>
      </c>
      <c r="V124" s="112" t="s">
        <v>47</v>
      </c>
      <c r="W124" s="59" t="s">
        <v>1402</v>
      </c>
      <c r="X124" s="112" t="s">
        <v>135</v>
      </c>
    </row>
    <row r="125" spans="2:24" s="105" customFormat="1" ht="15.75" x14ac:dyDescent="0.25">
      <c r="B125" s="71">
        <v>44273</v>
      </c>
      <c r="C125" s="71" t="str">
        <f>TEXT(VEND[[#This Row],[Fecha de Envío
Cotización]],"mmmm")</f>
        <v>marzo</v>
      </c>
      <c r="D125" s="112" t="s">
        <v>41</v>
      </c>
      <c r="E125" s="125" t="s">
        <v>42</v>
      </c>
      <c r="F125" s="125" t="str">
        <f>IF(VEND[[#This Row],[STATUS]]="PERDIDO","N/A","En espera")</f>
        <v>N/A</v>
      </c>
      <c r="G125" s="125" t="str">
        <f>TEXT(VEND[[#This Row],[Fecha Recibe
O.C]],"mmmm")</f>
        <v>N/A</v>
      </c>
      <c r="H125" s="112">
        <v>1506</v>
      </c>
      <c r="I125" s="112" t="s">
        <v>82</v>
      </c>
      <c r="J125" s="112"/>
      <c r="K125" s="58">
        <v>1</v>
      </c>
      <c r="L125" s="123">
        <v>312</v>
      </c>
      <c r="M125" s="112" t="s">
        <v>22</v>
      </c>
      <c r="N125" s="112">
        <v>0</v>
      </c>
      <c r="O125" s="212" t="str">
        <f>IF(VEND[[#This Row],[STATUS]]="O.C",(VEND[[#This Row],[Fecha Recibe
O.C]]+VEND[[#This Row],[Dias
entrega ]]),"")</f>
        <v/>
      </c>
      <c r="P125" s="212"/>
      <c r="Q125" s="58" t="str">
        <f>IFERROR(VEND[[#This Row],[Fecha de Despacho]]-VEND[[#This Row],[Fecha Estimada de Entrega a  Cliente]],"")</f>
        <v/>
      </c>
      <c r="R1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5" s="112" t="str">
        <f>IF(VEND[[#This Row],[STATUS]]="O.C","APROBADO",IF(VEND[[#This Row],[STATUS]]="PERDIDO","PERDIDO",IF(VEND[[#This Row],[STATUS]]="EN ESPERA","EN ESPERA")))</f>
        <v>PERDIDO</v>
      </c>
      <c r="T125" s="112" t="str">
        <f>IF(VEND[[#This Row],[STATUS]]="O.C","APROBADO",IF(VEND[[#This Row],[STATUS]]="PERDIDO","PERDIDO",IF(VEND[[#This Row],[STATUS]]="EN ESPERA","EN ESPERA")))</f>
        <v>PERDIDO</v>
      </c>
      <c r="U125" s="112" t="s">
        <v>23</v>
      </c>
      <c r="V125" s="112" t="s">
        <v>23</v>
      </c>
      <c r="W125" s="112" t="s">
        <v>1401</v>
      </c>
      <c r="X125" s="112"/>
    </row>
    <row r="126" spans="2:24" ht="15.75" x14ac:dyDescent="0.25">
      <c r="B126" s="71">
        <v>44273</v>
      </c>
      <c r="C126" s="71" t="str">
        <f>TEXT(VEND[[#This Row],[Fecha de Envío
Cotización]],"mmmm")</f>
        <v>marzo</v>
      </c>
      <c r="D126" s="112" t="s">
        <v>50</v>
      </c>
      <c r="E126" s="125" t="s">
        <v>42</v>
      </c>
      <c r="F126" s="92" t="str">
        <f>IF(VEND[[#This Row],[STATUS]]="PERDIDO","N/A","En espera")</f>
        <v>N/A</v>
      </c>
      <c r="G126" s="125" t="str">
        <f>TEXT(VEND[[#This Row],[Fecha Recibe
O.C]],"mmmm")</f>
        <v>N/A</v>
      </c>
      <c r="H126" s="112">
        <v>20149</v>
      </c>
      <c r="I126" s="112" t="s">
        <v>65</v>
      </c>
      <c r="J126" s="112"/>
      <c r="K126" s="58">
        <v>1</v>
      </c>
      <c r="L126" s="123">
        <v>953.15</v>
      </c>
      <c r="M126" s="112" t="s">
        <v>36</v>
      </c>
      <c r="N126" s="112">
        <v>28</v>
      </c>
      <c r="O126" s="212" t="str">
        <f>IF(VEND[[#This Row],[STATUS]]="O.C",(VEND[[#This Row],[Fecha Recibe
O.C]]+VEND[[#This Row],[Dias
entrega ]]),"")</f>
        <v/>
      </c>
      <c r="P126" s="212"/>
      <c r="Q126" s="58" t="str">
        <f>IFERROR(VEND[[#This Row],[Fecha de Despacho]]-VEND[[#This Row],[Fecha Estimada de Entrega a  Cliente]],"")</f>
        <v/>
      </c>
      <c r="R1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6" s="112" t="str">
        <f>IF(VEND[[#This Row],[STATUS]]="O.C","APROBADO",IF(VEND[[#This Row],[STATUS]]="PERDIDO","PERDIDO",IF(VEND[[#This Row],[STATUS]]="EN ESPERA","EN ESPERA")))</f>
        <v>PERDIDO</v>
      </c>
      <c r="T126" s="112" t="str">
        <f>IF(VEND[[#This Row],[STATUS]]="O.C","APROBADO",IF(VEND[[#This Row],[STATUS]]="PERDIDO","PERDIDO",IF(VEND[[#This Row],[STATUS]]="EN ESPERA","EN ESPERA")))</f>
        <v>PERDIDO</v>
      </c>
      <c r="U126" s="55" t="s">
        <v>23</v>
      </c>
      <c r="V126" s="55" t="s">
        <v>23</v>
      </c>
      <c r="W126" s="112" t="s">
        <v>1402</v>
      </c>
      <c r="X126" s="112"/>
    </row>
    <row r="127" spans="2:24" ht="15.75" x14ac:dyDescent="0.25">
      <c r="B127" s="71">
        <v>44273</v>
      </c>
      <c r="C127" s="71" t="str">
        <f>TEXT(VEND[[#This Row],[Fecha de Envío
Cotización]],"mmmm")</f>
        <v>marzo</v>
      </c>
      <c r="D127" s="68" t="s">
        <v>50</v>
      </c>
      <c r="E127" s="125" t="s">
        <v>42</v>
      </c>
      <c r="F127" s="92" t="str">
        <f>IF(VEND[[#This Row],[STATUS]]="PERDIDO","N/A","En espera")</f>
        <v>N/A</v>
      </c>
      <c r="G127" s="125" t="str">
        <f>TEXT(VEND[[#This Row],[Fecha Recibe
O.C]],"mmmm")</f>
        <v>N/A</v>
      </c>
      <c r="H127" s="112">
        <v>20158</v>
      </c>
      <c r="I127" s="55" t="s">
        <v>33</v>
      </c>
      <c r="J127" s="112"/>
      <c r="K127" s="58">
        <v>1</v>
      </c>
      <c r="L127" s="123">
        <v>398.4</v>
      </c>
      <c r="M127" s="67" t="s">
        <v>87</v>
      </c>
      <c r="N127" s="67">
        <v>28</v>
      </c>
      <c r="O127" s="212" t="str">
        <f>IF(VEND[[#This Row],[STATUS]]="O.C",(VEND[[#This Row],[Fecha Recibe
O.C]]+VEND[[#This Row],[Dias
entrega ]]),"")</f>
        <v/>
      </c>
      <c r="P127" s="71"/>
      <c r="Q127" s="67" t="str">
        <f>IFERROR(VEND[[#This Row],[Fecha de Despacho]]-VEND[[#This Row],[Fecha Estimada de Entrega a  Cliente]],"")</f>
        <v/>
      </c>
      <c r="R1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7" s="112" t="str">
        <f>IF(VEND[[#This Row],[STATUS]]="O.C","APROBADO",IF(VEND[[#This Row],[STATUS]]="PERDIDO","PERDIDO",IF(VEND[[#This Row],[STATUS]]="EN ESPERA","EN ESPERA")))</f>
        <v>PERDIDO</v>
      </c>
      <c r="T127" s="112" t="str">
        <f>IF(VEND[[#This Row],[STATUS]]="O.C","APROBADO",IF(VEND[[#This Row],[STATUS]]="PERDIDO","PERDIDO",IF(VEND[[#This Row],[STATUS]]="EN ESPERA","EN ESPERA")))</f>
        <v>PERDIDO</v>
      </c>
      <c r="U127" s="55" t="s">
        <v>23</v>
      </c>
      <c r="V127" s="55" t="s">
        <v>23</v>
      </c>
      <c r="W127" s="59" t="s">
        <v>1402</v>
      </c>
      <c r="X127" s="112"/>
    </row>
    <row r="128" spans="2:24" ht="15.75" x14ac:dyDescent="0.25">
      <c r="B128" s="71">
        <v>44273</v>
      </c>
      <c r="C128" s="71" t="str">
        <f>TEXT(VEND[[#This Row],[Fecha de Envío
Cotización]],"mmmm")</f>
        <v>marzo</v>
      </c>
      <c r="D128" s="71" t="s">
        <v>944</v>
      </c>
      <c r="E128" s="125" t="s">
        <v>83</v>
      </c>
      <c r="F128" s="92">
        <v>44294</v>
      </c>
      <c r="G128" s="125" t="str">
        <f>TEXT(VEND[[#This Row],[Fecha Recibe
O.C]],"mmmm")</f>
        <v>abril</v>
      </c>
      <c r="H128" s="112">
        <v>35711</v>
      </c>
      <c r="I128" s="112" t="s">
        <v>76</v>
      </c>
      <c r="J128" s="112"/>
      <c r="K128" s="58">
        <v>1</v>
      </c>
      <c r="L128" s="123">
        <v>1773.8</v>
      </c>
      <c r="M128" s="55" t="s">
        <v>16</v>
      </c>
      <c r="N128" s="112">
        <v>21</v>
      </c>
      <c r="O128" s="212">
        <f>IF(VEND[[#This Row],[STATUS]]="O.C",(VEND[[#This Row],[Fecha Recibe
O.C]]+VEND[[#This Row],[Dias
entrega ]]),"")</f>
        <v>44315</v>
      </c>
      <c r="P128" s="212"/>
      <c r="Q128" s="58">
        <f>IFERROR(VEND[[#This Row],[Fecha de Despacho]]-VEND[[#This Row],[Fecha Estimada de Entrega a  Cliente]],"")</f>
        <v>-44315</v>
      </c>
      <c r="R1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8" s="112" t="str">
        <f>IF(VEND[[#This Row],[STATUS]]="O.C","APROBADO",IF(VEND[[#This Row],[STATUS]]="PERDIDO","PERDIDO",IF(VEND[[#This Row],[STATUS]]="EN ESPERA","EN ESPERA")))</f>
        <v>APROBADO</v>
      </c>
      <c r="T128" s="112" t="str">
        <f>IF(VEND[[#This Row],[STATUS]]="O.C","APROBADO",IF(VEND[[#This Row],[STATUS]]="PERDIDO","PERDIDO",IF(VEND[[#This Row],[STATUS]]="EN ESPERA","EN ESPERA")))</f>
        <v>APROBADO</v>
      </c>
      <c r="U128" s="55" t="s">
        <v>45</v>
      </c>
      <c r="V128" s="55" t="s">
        <v>46</v>
      </c>
      <c r="W128" s="112" t="s">
        <v>1407</v>
      </c>
      <c r="X128" s="112"/>
    </row>
    <row r="129" spans="2:24" ht="15.75" x14ac:dyDescent="0.25">
      <c r="B129" s="71">
        <v>44273</v>
      </c>
      <c r="C129" s="71" t="str">
        <f>TEXT(VEND[[#This Row],[Fecha de Envío
Cotización]],"mmmm")</f>
        <v>marzo</v>
      </c>
      <c r="D129" s="66" t="s">
        <v>1163</v>
      </c>
      <c r="E129" s="125" t="s">
        <v>42</v>
      </c>
      <c r="F129" s="92" t="str">
        <f>IF(VEND[[#This Row],[STATUS]]="PERDIDO","N/A","En espera")</f>
        <v>N/A</v>
      </c>
      <c r="G129" s="125" t="str">
        <f>TEXT(VEND[[#This Row],[Fecha Recibe
O.C]],"mmmm")</f>
        <v>N/A</v>
      </c>
      <c r="H129" s="112" t="s">
        <v>1200</v>
      </c>
      <c r="I129" s="112" t="s">
        <v>1241</v>
      </c>
      <c r="J129" s="112"/>
      <c r="K129" s="58">
        <v>1</v>
      </c>
      <c r="L129" s="123">
        <v>4643.63</v>
      </c>
      <c r="M129" s="112"/>
      <c r="N129" s="112"/>
      <c r="O129" s="212" t="str">
        <f>IF(VEND[[#This Row],[STATUS]]="O.C",(VEND[[#This Row],[Fecha Recibe
O.C]]+VEND[[#This Row],[Dias
entrega ]]),"")</f>
        <v/>
      </c>
      <c r="P129" s="212"/>
      <c r="Q129" s="58" t="str">
        <f>IFERROR(VEND[[#This Row],[Fecha de Despacho]]-VEND[[#This Row],[Fecha Estimada de Entrega a  Cliente]],"")</f>
        <v/>
      </c>
      <c r="R1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29" s="112" t="str">
        <f>IF(VEND[[#This Row],[STATUS]]="O.C","APROBADO",IF(VEND[[#This Row],[STATUS]]="PERDIDO","PERDIDO",IF(VEND[[#This Row],[STATUS]]="EN ESPERA","EN ESPERA")))</f>
        <v>PERDIDO</v>
      </c>
      <c r="T129" s="112" t="str">
        <f>IF(VEND[[#This Row],[STATUS]]="O.C","APROBADO",IF(VEND[[#This Row],[STATUS]]="PERDIDO","PERDIDO",IF(VEND[[#This Row],[STATUS]]="EN ESPERA","EN ESPERA")))</f>
        <v>PERDIDO</v>
      </c>
      <c r="U129" s="55" t="s">
        <v>23</v>
      </c>
      <c r="V129" s="55" t="s">
        <v>23</v>
      </c>
      <c r="W129" s="112" t="s">
        <v>1409</v>
      </c>
      <c r="X129" s="112"/>
    </row>
    <row r="130" spans="2:24" ht="15.75" x14ac:dyDescent="0.25">
      <c r="B130" s="71">
        <v>44273</v>
      </c>
      <c r="C130" s="71" t="str">
        <f>TEXT(VEND[[#This Row],[Fecha de Envío
Cotización]],"mmmm")</f>
        <v>marzo</v>
      </c>
      <c r="D130" s="66" t="s">
        <v>1163</v>
      </c>
      <c r="E130" s="125" t="s">
        <v>42</v>
      </c>
      <c r="F130" s="92" t="str">
        <f>IF(VEND[[#This Row],[STATUS]]="PERDIDO","N/A","En espera")</f>
        <v>N/A</v>
      </c>
      <c r="G130" s="125" t="str">
        <f>TEXT(VEND[[#This Row],[Fecha Recibe
O.C]],"mmmm")</f>
        <v>N/A</v>
      </c>
      <c r="H130" s="112" t="s">
        <v>1201</v>
      </c>
      <c r="I130" s="55" t="s">
        <v>1241</v>
      </c>
      <c r="J130" s="112"/>
      <c r="K130" s="58">
        <v>1</v>
      </c>
      <c r="L130" s="123">
        <v>3734.6</v>
      </c>
      <c r="M130" s="55"/>
      <c r="N130" s="112"/>
      <c r="O130" s="212" t="str">
        <f>IF(VEND[[#This Row],[STATUS]]="O.C",(VEND[[#This Row],[Fecha Recibe
O.C]]+VEND[[#This Row],[Dias
entrega ]]),"")</f>
        <v/>
      </c>
      <c r="P130" s="212"/>
      <c r="Q130" s="58" t="str">
        <f>IFERROR(VEND[[#This Row],[Fecha de Despacho]]-VEND[[#This Row],[Fecha Estimada de Entrega a  Cliente]],"")</f>
        <v/>
      </c>
      <c r="R1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0" s="112" t="str">
        <f>IF(VEND[[#This Row],[STATUS]]="O.C","APROBADO",IF(VEND[[#This Row],[STATUS]]="PERDIDO","PERDIDO",IF(VEND[[#This Row],[STATUS]]="EN ESPERA","EN ESPERA")))</f>
        <v>PERDIDO</v>
      </c>
      <c r="T130" s="112" t="str">
        <f>IF(VEND[[#This Row],[STATUS]]="O.C","APROBADO",IF(VEND[[#This Row],[STATUS]]="PERDIDO","PERDIDO",IF(VEND[[#This Row],[STATUS]]="EN ESPERA","EN ESPERA")))</f>
        <v>PERDIDO</v>
      </c>
      <c r="U130" s="55" t="s">
        <v>23</v>
      </c>
      <c r="V130" s="55" t="s">
        <v>23</v>
      </c>
      <c r="W130" s="55" t="s">
        <v>1409</v>
      </c>
      <c r="X130" s="112"/>
    </row>
    <row r="131" spans="2:24" ht="15.75" x14ac:dyDescent="0.25">
      <c r="B131" s="71">
        <v>44273</v>
      </c>
      <c r="C131" s="71" t="str">
        <f>TEXT(VEND[[#This Row],[Fecha de Envío
Cotización]],"mmmm")</f>
        <v>marzo</v>
      </c>
      <c r="D131" s="66" t="s">
        <v>1163</v>
      </c>
      <c r="E131" s="125" t="s">
        <v>42</v>
      </c>
      <c r="F131" s="125" t="str">
        <f>IF(VEND[[#This Row],[STATUS]]="PERDIDO","N/A","En espera")</f>
        <v>N/A</v>
      </c>
      <c r="G131" s="125" t="str">
        <f>TEXT(VEND[[#This Row],[Fecha Recibe
O.C]],"mmmm")</f>
        <v>N/A</v>
      </c>
      <c r="H131" s="112" t="s">
        <v>1202</v>
      </c>
      <c r="I131" s="55" t="s">
        <v>1241</v>
      </c>
      <c r="J131" s="112"/>
      <c r="K131" s="58">
        <v>2</v>
      </c>
      <c r="L131" s="123">
        <v>884</v>
      </c>
      <c r="M131" s="55"/>
      <c r="N131" s="112"/>
      <c r="O131" s="212" t="str">
        <f>IF(VEND[[#This Row],[STATUS]]="O.C",(VEND[[#This Row],[Fecha Recibe
O.C]]+VEND[[#This Row],[Dias
entrega ]]),"")</f>
        <v/>
      </c>
      <c r="P131" s="212"/>
      <c r="Q131" s="58" t="str">
        <f>IFERROR(VEND[[#This Row],[Fecha de Despacho]]-VEND[[#This Row],[Fecha Estimada de Entrega a  Cliente]],"")</f>
        <v/>
      </c>
      <c r="R1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1" s="112" t="str">
        <f>IF(VEND[[#This Row],[STATUS]]="O.C","APROBADO",IF(VEND[[#This Row],[STATUS]]="PERDIDO","PERDIDO",IF(VEND[[#This Row],[STATUS]]="EN ESPERA","EN ESPERA")))</f>
        <v>PERDIDO</v>
      </c>
      <c r="T131" s="112" t="str">
        <f>IF(VEND[[#This Row],[STATUS]]="O.C","APROBADO",IF(VEND[[#This Row],[STATUS]]="PERDIDO","PERDIDO",IF(VEND[[#This Row],[STATUS]]="EN ESPERA","EN ESPERA")))</f>
        <v>PERDIDO</v>
      </c>
      <c r="U131" s="55" t="s">
        <v>23</v>
      </c>
      <c r="V131" s="55" t="s">
        <v>23</v>
      </c>
      <c r="W131" s="112" t="s">
        <v>1409</v>
      </c>
      <c r="X131" s="112"/>
    </row>
    <row r="132" spans="2:24" ht="15.75" x14ac:dyDescent="0.25">
      <c r="B132" s="232">
        <v>44273</v>
      </c>
      <c r="C132" s="71" t="str">
        <f>TEXT(VEND[[#This Row],[Fecha de Envío
Cotización]],"mmmm")</f>
        <v>marzo</v>
      </c>
      <c r="D132" s="66" t="s">
        <v>1163</v>
      </c>
      <c r="E132" s="125" t="s">
        <v>83</v>
      </c>
      <c r="F132" s="93">
        <v>44291</v>
      </c>
      <c r="G132" s="93" t="str">
        <f>TEXT(VEND[[#This Row],[Fecha Recibe
O.C]],"mmmm")</f>
        <v>abril</v>
      </c>
      <c r="H132" s="112" t="s">
        <v>1203</v>
      </c>
      <c r="I132" s="55" t="s">
        <v>1242</v>
      </c>
      <c r="J132" s="55"/>
      <c r="K132" s="58">
        <v>1</v>
      </c>
      <c r="L132" s="123">
        <v>4020</v>
      </c>
      <c r="M132" s="55"/>
      <c r="N132" s="112"/>
      <c r="O132" s="212">
        <f>IF(VEND[[#This Row],[STATUS]]="O.C",(VEND[[#This Row],[Fecha Recibe
O.C]]+VEND[[#This Row],[Dias
entrega ]]),"")</f>
        <v>44291</v>
      </c>
      <c r="P132" s="212"/>
      <c r="Q132" s="58">
        <f>IFERROR(VEND[[#This Row],[Fecha de Despacho]]-VEND[[#This Row],[Fecha Estimada de Entrega a  Cliente]],"")</f>
        <v>-44291</v>
      </c>
      <c r="R1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2" s="55" t="str">
        <f>IF(VEND[[#This Row],[STATUS]]="O.C","APROBADO",IF(VEND[[#This Row],[STATUS]]="PERDIDO","PERDIDO",IF(VEND[[#This Row],[STATUS]]="EN ESPERA","EN ESPERA")))</f>
        <v>APROBADO</v>
      </c>
      <c r="T132" s="55" t="str">
        <f>IF(VEND[[#This Row],[STATUS]]="O.C","APROBADO",IF(VEND[[#This Row],[STATUS]]="PERDIDO","PERDIDO",IF(VEND[[#This Row],[STATUS]]="EN ESPERA","EN ESPERA")))</f>
        <v>APROBADO</v>
      </c>
      <c r="U132" s="55" t="s">
        <v>45</v>
      </c>
      <c r="V132" s="55" t="s">
        <v>47</v>
      </c>
      <c r="W132" s="55" t="s">
        <v>1401</v>
      </c>
      <c r="X132" s="55">
        <v>952</v>
      </c>
    </row>
    <row r="133" spans="2:24" ht="15.75" x14ac:dyDescent="0.25">
      <c r="B133" s="65">
        <v>44273</v>
      </c>
      <c r="C133" s="71" t="str">
        <f>TEXT(VEND[[#This Row],[Fecha de Envío
Cotización]],"mmmm")</f>
        <v>marzo</v>
      </c>
      <c r="D133" s="71" t="s">
        <v>944</v>
      </c>
      <c r="E133" s="125" t="s">
        <v>83</v>
      </c>
      <c r="F133" s="92">
        <v>44273</v>
      </c>
      <c r="G133" s="125" t="str">
        <f>TEXT(VEND[[#This Row],[Fecha Recibe
O.C]],"mmmm")</f>
        <v>marzo</v>
      </c>
      <c r="H133" s="112" t="s">
        <v>121</v>
      </c>
      <c r="I133" s="112" t="s">
        <v>100</v>
      </c>
      <c r="J133" s="55"/>
      <c r="K133" s="58">
        <v>1</v>
      </c>
      <c r="L133" s="123">
        <v>640</v>
      </c>
      <c r="M133" s="55" t="s">
        <v>22</v>
      </c>
      <c r="N133" s="112">
        <v>0</v>
      </c>
      <c r="O133" s="212">
        <f>IF(VEND[[#This Row],[STATUS]]="O.C",(VEND[[#This Row],[Fecha Recibe
O.C]]+VEND[[#This Row],[Dias
entrega ]]),"")</f>
        <v>44273</v>
      </c>
      <c r="P133" s="212"/>
      <c r="Q133" s="58">
        <f>IFERROR(VEND[[#This Row],[Fecha de Despacho]]-VEND[[#This Row],[Fecha Estimada de Entrega a  Cliente]],"")</f>
        <v>-44273</v>
      </c>
      <c r="R1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3" s="55" t="str">
        <f>IF(VEND[[#This Row],[STATUS]]="O.C","APROBADO",IF(VEND[[#This Row],[STATUS]]="PERDIDO","PERDIDO",IF(VEND[[#This Row],[STATUS]]="EN ESPERA","EN ESPERA")))</f>
        <v>APROBADO</v>
      </c>
      <c r="T133" s="55" t="str">
        <f>IF(VEND[[#This Row],[STATUS]]="O.C","APROBADO",IF(VEND[[#This Row],[STATUS]]="PERDIDO","PERDIDO",IF(VEND[[#This Row],[STATUS]]="EN ESPERA","EN ESPERA")))</f>
        <v>APROBADO</v>
      </c>
      <c r="U133" s="55" t="s">
        <v>45</v>
      </c>
      <c r="V133" s="55" t="s">
        <v>47</v>
      </c>
      <c r="W133" s="55"/>
      <c r="X133" s="55"/>
    </row>
    <row r="134" spans="2:24" ht="15.75" x14ac:dyDescent="0.25">
      <c r="B134" s="65">
        <v>44274</v>
      </c>
      <c r="C134" s="71" t="str">
        <f>TEXT(VEND[[#This Row],[Fecha de Envío
Cotización]],"mmmm")</f>
        <v>marzo</v>
      </c>
      <c r="D134" s="112" t="s">
        <v>945</v>
      </c>
      <c r="E134" s="125" t="s">
        <v>42</v>
      </c>
      <c r="F134" s="115" t="str">
        <f>IF(VEND[[#This Row],[STATUS]]="PERDIDO","N/A","En espera")</f>
        <v>N/A</v>
      </c>
      <c r="G134" s="125" t="str">
        <f>TEXT(VEND[[#This Row],[Fecha Recibe
O.C]],"mmmm")</f>
        <v>N/A</v>
      </c>
      <c r="H134" s="112">
        <v>20034</v>
      </c>
      <c r="I134" s="112" t="s">
        <v>31</v>
      </c>
      <c r="J134" s="112"/>
      <c r="K134" s="58">
        <v>2</v>
      </c>
      <c r="L134" s="123">
        <v>226</v>
      </c>
      <c r="M134" s="112" t="s">
        <v>22</v>
      </c>
      <c r="N134" s="112">
        <v>0</v>
      </c>
      <c r="O134" s="212" t="str">
        <f>IF(VEND[[#This Row],[STATUS]]="O.C",(VEND[[#This Row],[Fecha Recibe
O.C]]+VEND[[#This Row],[Dias
entrega ]]),"")</f>
        <v/>
      </c>
      <c r="P134" s="212"/>
      <c r="Q134" s="58" t="str">
        <f>IFERROR(VEND[[#This Row],[Fecha de Despacho]]-VEND[[#This Row],[Fecha Estimada de Entrega a  Cliente]],"")</f>
        <v/>
      </c>
      <c r="R1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4" s="55" t="str">
        <f>IF(VEND[[#This Row],[STATUS]]="O.C","APROBADO",IF(VEND[[#This Row],[STATUS]]="PERDIDO","PERDIDO",IF(VEND[[#This Row],[STATUS]]="EN ESPERA","EN ESPERA")))</f>
        <v>PERDIDO</v>
      </c>
      <c r="T134" s="55" t="str">
        <f>IF(VEND[[#This Row],[STATUS]]="O.C","APROBADO",IF(VEND[[#This Row],[STATUS]]="PERDIDO","PERDIDO",IF(VEND[[#This Row],[STATUS]]="EN ESPERA","EN ESPERA")))</f>
        <v>PERDIDO</v>
      </c>
      <c r="U134" s="112" t="s">
        <v>23</v>
      </c>
      <c r="V134" s="112" t="s">
        <v>23</v>
      </c>
      <c r="W134" s="55" t="s">
        <v>1410</v>
      </c>
      <c r="X134" s="112" t="s">
        <v>110</v>
      </c>
    </row>
    <row r="135" spans="2:24" ht="15.75" x14ac:dyDescent="0.25">
      <c r="B135" s="71">
        <v>44274</v>
      </c>
      <c r="C135" s="71" t="str">
        <f>TEXT(VEND[[#This Row],[Fecha de Envío
Cotización]],"mmmm")</f>
        <v>marzo</v>
      </c>
      <c r="D135" s="71" t="s">
        <v>945</v>
      </c>
      <c r="E135" s="125" t="s">
        <v>83</v>
      </c>
      <c r="F135" s="92">
        <v>44285</v>
      </c>
      <c r="G135" s="125" t="str">
        <f>TEXT(VEND[[#This Row],[Fecha Recibe
O.C]],"mmmm")</f>
        <v>marzo</v>
      </c>
      <c r="H135" s="112">
        <v>20035</v>
      </c>
      <c r="I135" s="55" t="s">
        <v>31</v>
      </c>
      <c r="J135" s="112"/>
      <c r="K135" s="58">
        <v>2</v>
      </c>
      <c r="L135" s="123">
        <v>240</v>
      </c>
      <c r="M135" s="112" t="s">
        <v>15</v>
      </c>
      <c r="N135" s="112">
        <v>14</v>
      </c>
      <c r="O135" s="212">
        <f>IF(VEND[[#This Row],[STATUS]]="O.C",(VEND[[#This Row],[Fecha Recibe
O.C]]+VEND[[#This Row],[Dias
entrega ]]),"")</f>
        <v>44299</v>
      </c>
      <c r="P135" s="212">
        <v>44309</v>
      </c>
      <c r="Q135" s="58">
        <f>IFERROR(VEND[[#This Row],[Fecha de Despacho]]-VEND[[#This Row],[Fecha Estimada de Entrega a  Cliente]],"")</f>
        <v>10</v>
      </c>
      <c r="R1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35" s="55" t="str">
        <f>IF(VEND[[#This Row],[STATUS]]="O.C","APROBADO",IF(VEND[[#This Row],[STATUS]]="PERDIDO","PERDIDO",IF(VEND[[#This Row],[STATUS]]="EN ESPERA","EN ESPERA")))</f>
        <v>APROBADO</v>
      </c>
      <c r="T135" s="55" t="str">
        <f>IF(VEND[[#This Row],[STATUS]]="O.C","APROBADO",IF(VEND[[#This Row],[STATUS]]="PERDIDO","PERDIDO",IF(VEND[[#This Row],[STATUS]]="EN ESPERA","EN ESPERA")))</f>
        <v>APROBADO</v>
      </c>
      <c r="U135" s="112" t="s">
        <v>45</v>
      </c>
      <c r="V135" s="112" t="s">
        <v>47</v>
      </c>
      <c r="W135" s="55" t="s">
        <v>1410</v>
      </c>
      <c r="X135" s="112"/>
    </row>
    <row r="136" spans="2:24" ht="15.75" x14ac:dyDescent="0.25">
      <c r="B136" s="71">
        <v>44274</v>
      </c>
      <c r="C136" s="71" t="str">
        <f>TEXT(VEND[[#This Row],[Fecha de Envío
Cotización]],"mmmm")</f>
        <v>marzo</v>
      </c>
      <c r="D136" s="71" t="s">
        <v>945</v>
      </c>
      <c r="E136" s="125" t="s">
        <v>83</v>
      </c>
      <c r="F136" s="92">
        <v>44284</v>
      </c>
      <c r="G136" s="125" t="str">
        <f>TEXT(VEND[[#This Row],[Fecha Recibe
O.C]],"mmmm")</f>
        <v>marzo</v>
      </c>
      <c r="H136" s="112">
        <v>20037</v>
      </c>
      <c r="I136" s="55" t="s">
        <v>31</v>
      </c>
      <c r="J136" s="112"/>
      <c r="K136" s="58">
        <v>1</v>
      </c>
      <c r="L136" s="123">
        <v>69</v>
      </c>
      <c r="M136" s="55" t="s">
        <v>77</v>
      </c>
      <c r="N136" s="112">
        <v>7</v>
      </c>
      <c r="O136" s="212">
        <f>IF(VEND[[#This Row],[STATUS]]="O.C",(VEND[[#This Row],[Fecha Recibe
O.C]]+VEND[[#This Row],[Dias
entrega ]]),"")</f>
        <v>44291</v>
      </c>
      <c r="P136" s="212">
        <v>44307</v>
      </c>
      <c r="Q136" s="58">
        <f>IFERROR(VEND[[#This Row],[Fecha de Despacho]]-VEND[[#This Row],[Fecha Estimada de Entrega a  Cliente]],"")</f>
        <v>16</v>
      </c>
      <c r="R1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36" s="55" t="str">
        <f>IF(VEND[[#This Row],[STATUS]]="O.C","APROBADO",IF(VEND[[#This Row],[STATUS]]="PERDIDO","PERDIDO",IF(VEND[[#This Row],[STATUS]]="EN ESPERA","EN ESPERA")))</f>
        <v>APROBADO</v>
      </c>
      <c r="T136" s="55" t="str">
        <f>IF(VEND[[#This Row],[STATUS]]="O.C","APROBADO",IF(VEND[[#This Row],[STATUS]]="PERDIDO","PERDIDO",IF(VEND[[#This Row],[STATUS]]="EN ESPERA","EN ESPERA")))</f>
        <v>APROBADO</v>
      </c>
      <c r="U136" s="55" t="s">
        <v>45</v>
      </c>
      <c r="V136" s="55" t="s">
        <v>47</v>
      </c>
      <c r="W136" s="55" t="s">
        <v>1410</v>
      </c>
      <c r="X136" s="112"/>
    </row>
    <row r="137" spans="2:24" ht="15.75" x14ac:dyDescent="0.25">
      <c r="B137" s="71">
        <v>44274</v>
      </c>
      <c r="C137" s="71" t="str">
        <f>TEXT(VEND[[#This Row],[Fecha de Envío
Cotización]],"mmmm")</f>
        <v>marzo</v>
      </c>
      <c r="D137" s="71" t="s">
        <v>944</v>
      </c>
      <c r="E137" s="125" t="s">
        <v>83</v>
      </c>
      <c r="F137" s="92">
        <v>44281</v>
      </c>
      <c r="G137" s="125" t="str">
        <f>TEXT(VEND[[#This Row],[Fecha Recibe
O.C]],"mmmm")</f>
        <v>marzo</v>
      </c>
      <c r="H137" s="112">
        <v>25399</v>
      </c>
      <c r="I137" s="55" t="s">
        <v>76</v>
      </c>
      <c r="J137" s="112"/>
      <c r="K137" s="58">
        <v>1</v>
      </c>
      <c r="L137" s="123">
        <v>2126.66</v>
      </c>
      <c r="M137" s="55" t="s">
        <v>36</v>
      </c>
      <c r="N137" s="112">
        <v>28</v>
      </c>
      <c r="O137" s="212">
        <f>IF(VEND[[#This Row],[STATUS]]="O.C",(VEND[[#This Row],[Fecha Recibe
O.C]]+VEND[[#This Row],[Dias
entrega ]]),"")</f>
        <v>44309</v>
      </c>
      <c r="P137" s="212"/>
      <c r="Q137" s="58">
        <f>IFERROR(VEND[[#This Row],[Fecha de Despacho]]-VEND[[#This Row],[Fecha Estimada de Entrega a  Cliente]],"")</f>
        <v>-44309</v>
      </c>
      <c r="R1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7" s="112" t="str">
        <f>IF(VEND[[#This Row],[STATUS]]="O.C","APROBADO",IF(VEND[[#This Row],[STATUS]]="PERDIDO","PERDIDO",IF(VEND[[#This Row],[STATUS]]="EN ESPERA","EN ESPERA")))</f>
        <v>APROBADO</v>
      </c>
      <c r="T137" s="112" t="str">
        <f>IF(VEND[[#This Row],[STATUS]]="O.C","APROBADO",IF(VEND[[#This Row],[STATUS]]="PERDIDO","PERDIDO",IF(VEND[[#This Row],[STATUS]]="EN ESPERA","EN ESPERA")))</f>
        <v>APROBADO</v>
      </c>
      <c r="U137" s="55" t="s">
        <v>45</v>
      </c>
      <c r="V137" s="55" t="s">
        <v>47</v>
      </c>
      <c r="W137" s="55" t="s">
        <v>1402</v>
      </c>
      <c r="X137" s="112"/>
    </row>
    <row r="138" spans="2:24" ht="15.75" x14ac:dyDescent="0.25">
      <c r="B138" s="71">
        <v>44277</v>
      </c>
      <c r="C138" s="71" t="str">
        <f>TEXT(VEND[[#This Row],[Fecha de Envío
Cotización]],"mmmm")</f>
        <v>marzo</v>
      </c>
      <c r="D138" s="112" t="s">
        <v>41</v>
      </c>
      <c r="E138" s="125" t="s">
        <v>42</v>
      </c>
      <c r="F138" s="125" t="str">
        <f>IF(VEND[[#This Row],[STATUS]]="PERDIDO","N/A","En espera")</f>
        <v>N/A</v>
      </c>
      <c r="G138" s="125" t="str">
        <f>TEXT(VEND[[#This Row],[Fecha Recibe
O.C]],"mmmm")</f>
        <v>N/A</v>
      </c>
      <c r="H138" s="112">
        <v>1605</v>
      </c>
      <c r="I138" s="55" t="s">
        <v>94</v>
      </c>
      <c r="J138" s="112"/>
      <c r="K138" s="58">
        <v>8</v>
      </c>
      <c r="L138" s="123">
        <v>4309.13</v>
      </c>
      <c r="M138" s="55" t="s">
        <v>15</v>
      </c>
      <c r="N138" s="112">
        <v>14</v>
      </c>
      <c r="O138" s="212" t="str">
        <f>IF(VEND[[#This Row],[STATUS]]="O.C",(VEND[[#This Row],[Fecha Recibe
O.C]]+VEND[[#This Row],[Dias
entrega ]]),"")</f>
        <v/>
      </c>
      <c r="P138" s="212"/>
      <c r="Q138" s="58" t="str">
        <f>IFERROR(VEND[[#This Row],[Fecha de Despacho]]-VEND[[#This Row],[Fecha Estimada de Entrega a  Cliente]],"")</f>
        <v/>
      </c>
      <c r="R1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8" s="112" t="str">
        <f>IF(VEND[[#This Row],[STATUS]]="O.C","APROBADO",IF(VEND[[#This Row],[STATUS]]="PERDIDO","PERDIDO",IF(VEND[[#This Row],[STATUS]]="EN ESPERA","EN ESPERA")))</f>
        <v>PERDIDO</v>
      </c>
      <c r="T138" s="112" t="str">
        <f>IF(VEND[[#This Row],[STATUS]]="O.C","APROBADO",IF(VEND[[#This Row],[STATUS]]="PERDIDO","PERDIDO",IF(VEND[[#This Row],[STATUS]]="EN ESPERA","EN ESPERA")))</f>
        <v>PERDIDO</v>
      </c>
      <c r="U138" s="55" t="s">
        <v>23</v>
      </c>
      <c r="V138" s="55" t="s">
        <v>23</v>
      </c>
      <c r="W138" s="112" t="s">
        <v>1409</v>
      </c>
      <c r="X138" s="112"/>
    </row>
    <row r="139" spans="2:24" s="38" customFormat="1" ht="15.75" x14ac:dyDescent="0.25">
      <c r="B139" s="71">
        <v>44277</v>
      </c>
      <c r="C139" s="71" t="str">
        <f>TEXT(VEND[[#This Row],[Fecha de Envío
Cotización]],"mmmm")</f>
        <v>marzo</v>
      </c>
      <c r="D139" s="112" t="s">
        <v>50</v>
      </c>
      <c r="E139" s="125" t="s">
        <v>42</v>
      </c>
      <c r="F139" s="92" t="str">
        <f>IF(VEND[[#This Row],[STATUS]]="PERDIDO","N/A","En espera")</f>
        <v>N/A</v>
      </c>
      <c r="G139" s="125" t="str">
        <f>TEXT(VEND[[#This Row],[Fecha Recibe
O.C]],"mmmm")</f>
        <v>N/A</v>
      </c>
      <c r="H139" s="112">
        <v>20165</v>
      </c>
      <c r="I139" s="55" t="s">
        <v>90</v>
      </c>
      <c r="J139" s="112"/>
      <c r="K139" s="58">
        <v>4</v>
      </c>
      <c r="L139" s="123">
        <v>1864.6</v>
      </c>
      <c r="M139" s="55" t="s">
        <v>16</v>
      </c>
      <c r="N139" s="112">
        <v>21</v>
      </c>
      <c r="O139" s="212" t="str">
        <f>IF(VEND[[#This Row],[STATUS]]="O.C",(VEND[[#This Row],[Fecha Recibe
O.C]]+VEND[[#This Row],[Dias
entrega ]]),"")</f>
        <v/>
      </c>
      <c r="P139" s="212"/>
      <c r="Q139" s="58" t="str">
        <f>IFERROR(VEND[[#This Row],[Fecha de Despacho]]-VEND[[#This Row],[Fecha Estimada de Entrega a  Cliente]],"")</f>
        <v/>
      </c>
      <c r="R1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39" s="112" t="str">
        <f>IF(VEND[[#This Row],[STATUS]]="O.C","APROBADO",IF(VEND[[#This Row],[STATUS]]="PERDIDO","PERDIDO",IF(VEND[[#This Row],[STATUS]]="EN ESPERA","EN ESPERA")))</f>
        <v>PERDIDO</v>
      </c>
      <c r="T139" s="112" t="str">
        <f>IF(VEND[[#This Row],[STATUS]]="O.C","APROBADO",IF(VEND[[#This Row],[STATUS]]="PERDIDO","PERDIDO",IF(VEND[[#This Row],[STATUS]]="EN ESPERA","EN ESPERA")))</f>
        <v>PERDIDO</v>
      </c>
      <c r="U139" s="55" t="s">
        <v>23</v>
      </c>
      <c r="V139" s="55" t="s">
        <v>23</v>
      </c>
      <c r="W139" s="112" t="s">
        <v>1403</v>
      </c>
      <c r="X139" s="112"/>
    </row>
    <row r="140" spans="2:24" ht="15.75" x14ac:dyDescent="0.25">
      <c r="B140" s="71">
        <v>44277</v>
      </c>
      <c r="C140" s="71" t="str">
        <f>TEXT(VEND[[#This Row],[Fecha de Envío
Cotización]],"mmmm")</f>
        <v>marzo</v>
      </c>
      <c r="D140" s="112" t="s">
        <v>50</v>
      </c>
      <c r="E140" s="125" t="s">
        <v>83</v>
      </c>
      <c r="F140" s="92">
        <v>44285</v>
      </c>
      <c r="G140" s="125" t="str">
        <f>TEXT(VEND[[#This Row],[Fecha Recibe
O.C]],"mmmm")</f>
        <v>marzo</v>
      </c>
      <c r="H140" s="112">
        <v>20166</v>
      </c>
      <c r="I140" s="112" t="s">
        <v>90</v>
      </c>
      <c r="J140" s="112"/>
      <c r="K140" s="58">
        <v>2</v>
      </c>
      <c r="L140" s="123">
        <v>2480.12</v>
      </c>
      <c r="M140" s="112" t="s">
        <v>16</v>
      </c>
      <c r="N140" s="112">
        <v>21</v>
      </c>
      <c r="O140" s="212">
        <f>IF(VEND[[#This Row],[STATUS]]="O.C",(VEND[[#This Row],[Fecha Recibe
O.C]]+VEND[[#This Row],[Dias
entrega ]]),"")</f>
        <v>44306</v>
      </c>
      <c r="P140" s="212"/>
      <c r="Q140" s="58">
        <f>IFERROR(VEND[[#This Row],[Fecha de Despacho]]-VEND[[#This Row],[Fecha Estimada de Entrega a  Cliente]],"")</f>
        <v>-44306</v>
      </c>
      <c r="R1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0" s="112" t="str">
        <f>IF(VEND[[#This Row],[STATUS]]="O.C","APROBADO",IF(VEND[[#This Row],[STATUS]]="PERDIDO","PERDIDO",IF(VEND[[#This Row],[STATUS]]="EN ESPERA","EN ESPERA")))</f>
        <v>APROBADO</v>
      </c>
      <c r="T140" s="112" t="str">
        <f>IF(VEND[[#This Row],[STATUS]]="O.C","APROBADO",IF(VEND[[#This Row],[STATUS]]="PERDIDO","PERDIDO",IF(VEND[[#This Row],[STATUS]]="EN ESPERA","EN ESPERA")))</f>
        <v>APROBADO</v>
      </c>
      <c r="U140" s="55" t="s">
        <v>46</v>
      </c>
      <c r="V140" s="55" t="s">
        <v>46</v>
      </c>
      <c r="W140" s="112" t="s">
        <v>1403</v>
      </c>
      <c r="X140" s="112"/>
    </row>
    <row r="141" spans="2:24" ht="15.75" x14ac:dyDescent="0.25">
      <c r="B141" s="71">
        <v>44277</v>
      </c>
      <c r="C141" s="71" t="str">
        <f>TEXT(VEND[[#This Row],[Fecha de Envío
Cotización]],"mmmm")</f>
        <v>marzo</v>
      </c>
      <c r="D141" s="112" t="s">
        <v>50</v>
      </c>
      <c r="E141" s="125" t="s">
        <v>83</v>
      </c>
      <c r="F141" s="125">
        <v>44280</v>
      </c>
      <c r="G141" s="125" t="str">
        <f>TEXT(VEND[[#This Row],[Fecha Recibe
O.C]],"mmmm")</f>
        <v>marzo</v>
      </c>
      <c r="H141" s="112">
        <v>20167</v>
      </c>
      <c r="I141" s="112" t="s">
        <v>90</v>
      </c>
      <c r="J141" s="112"/>
      <c r="K141" s="58">
        <v>1</v>
      </c>
      <c r="L141" s="123">
        <v>506.46</v>
      </c>
      <c r="M141" s="61" t="s">
        <v>16</v>
      </c>
      <c r="N141" s="112">
        <v>21</v>
      </c>
      <c r="O141" s="212">
        <f>IF(VEND[[#This Row],[STATUS]]="O.C",(VEND[[#This Row],[Fecha Recibe
O.C]]+VEND[[#This Row],[Dias
entrega ]]),"")</f>
        <v>44301</v>
      </c>
      <c r="P141" s="212">
        <v>44300</v>
      </c>
      <c r="Q141" s="58">
        <f>IFERROR(VEND[[#This Row],[Fecha de Despacho]]-VEND[[#This Row],[Fecha Estimada de Entrega a  Cliente]],"")</f>
        <v>-1</v>
      </c>
      <c r="R1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1" s="112" t="str">
        <f>IF(VEND[[#This Row],[STATUS]]="O.C","APROBADO",IF(VEND[[#This Row],[STATUS]]="PERDIDO","PERDIDO",IF(VEND[[#This Row],[STATUS]]="EN ESPERA","EN ESPERA")))</f>
        <v>APROBADO</v>
      </c>
      <c r="T141" s="112" t="str">
        <f>IF(VEND[[#This Row],[STATUS]]="O.C","APROBADO",IF(VEND[[#This Row],[STATUS]]="PERDIDO","PERDIDO",IF(VEND[[#This Row],[STATUS]]="EN ESPERA","EN ESPERA")))</f>
        <v>APROBADO</v>
      </c>
      <c r="U141" s="55" t="s">
        <v>45</v>
      </c>
      <c r="V141" s="55" t="s">
        <v>46</v>
      </c>
      <c r="W141" s="112" t="s">
        <v>1403</v>
      </c>
      <c r="X141" s="112"/>
    </row>
    <row r="142" spans="2:24" ht="15.75" x14ac:dyDescent="0.25">
      <c r="B142" s="71">
        <v>44277</v>
      </c>
      <c r="C142" s="71" t="str">
        <f>TEXT(VEND[[#This Row],[Fecha de Envío
Cotización]],"mmmm")</f>
        <v>marzo</v>
      </c>
      <c r="D142" s="112" t="s">
        <v>50</v>
      </c>
      <c r="E142" s="125" t="s">
        <v>42</v>
      </c>
      <c r="F142" s="125" t="str">
        <f>IF(VEND[[#This Row],[STATUS]]="PERDIDO","N/A","En espera")</f>
        <v>N/A</v>
      </c>
      <c r="G142" s="125" t="str">
        <f>TEXT(VEND[[#This Row],[Fecha Recibe
O.C]],"mmmm")</f>
        <v>N/A</v>
      </c>
      <c r="H142" s="112">
        <v>20168</v>
      </c>
      <c r="I142" s="112" t="s">
        <v>109</v>
      </c>
      <c r="J142" s="112"/>
      <c r="K142" s="58">
        <v>1</v>
      </c>
      <c r="L142" s="123">
        <v>1616.82</v>
      </c>
      <c r="M142" s="61" t="s">
        <v>36</v>
      </c>
      <c r="N142" s="112">
        <v>28</v>
      </c>
      <c r="O142" s="212" t="str">
        <f>IF(VEND[[#This Row],[STATUS]]="O.C",(VEND[[#This Row],[Fecha Recibe
O.C]]+VEND[[#This Row],[Dias
entrega ]]),"")</f>
        <v/>
      </c>
      <c r="P142" s="212"/>
      <c r="Q142" s="58" t="str">
        <f>IFERROR(VEND[[#This Row],[Fecha de Despacho]]-VEND[[#This Row],[Fecha Estimada de Entrega a  Cliente]],"")</f>
        <v/>
      </c>
      <c r="R1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2" s="112" t="str">
        <f>IF(VEND[[#This Row],[STATUS]]="O.C","APROBADO",IF(VEND[[#This Row],[STATUS]]="PERDIDO","PERDIDO",IF(VEND[[#This Row],[STATUS]]="EN ESPERA","EN ESPERA")))</f>
        <v>PERDIDO</v>
      </c>
      <c r="T142" s="112" t="str">
        <f>IF(VEND[[#This Row],[STATUS]]="O.C","APROBADO",IF(VEND[[#This Row],[STATUS]]="PERDIDO","PERDIDO",IF(VEND[[#This Row],[STATUS]]="EN ESPERA","EN ESPERA")))</f>
        <v>PERDIDO</v>
      </c>
      <c r="U142" s="55" t="s">
        <v>23</v>
      </c>
      <c r="V142" s="55" t="s">
        <v>23</v>
      </c>
      <c r="W142" s="112" t="s">
        <v>1401</v>
      </c>
      <c r="X142" s="112"/>
    </row>
    <row r="143" spans="2:24" ht="15.75" x14ac:dyDescent="0.25">
      <c r="B143" s="71">
        <v>44277</v>
      </c>
      <c r="C143" s="71" t="str">
        <f>TEXT(VEND[[#This Row],[Fecha de Envío
Cotización]],"mmmm")</f>
        <v>marzo</v>
      </c>
      <c r="D143" s="112" t="s">
        <v>50</v>
      </c>
      <c r="E143" s="125" t="s">
        <v>42</v>
      </c>
      <c r="F143" s="92" t="str">
        <f>IF(VEND[[#This Row],[STATUS]]="PERDIDO","N/A","En espera")</f>
        <v>N/A</v>
      </c>
      <c r="G143" s="125" t="str">
        <f>TEXT(VEND[[#This Row],[Fecha Recibe
O.C]],"mmmm")</f>
        <v>N/A</v>
      </c>
      <c r="H143" s="112">
        <v>20169</v>
      </c>
      <c r="I143" s="112" t="s">
        <v>90</v>
      </c>
      <c r="J143" s="112"/>
      <c r="K143" s="58">
        <v>3</v>
      </c>
      <c r="L143" s="123">
        <v>3741.15</v>
      </c>
      <c r="M143" s="61" t="s">
        <v>36</v>
      </c>
      <c r="N143" s="112">
        <v>28</v>
      </c>
      <c r="O143" s="212" t="str">
        <f>IF(VEND[[#This Row],[STATUS]]="O.C",(VEND[[#This Row],[Fecha Recibe
O.C]]+VEND[[#This Row],[Dias
entrega ]]),"")</f>
        <v/>
      </c>
      <c r="P143" s="212"/>
      <c r="Q143" s="58" t="str">
        <f>IFERROR(VEND[[#This Row],[Fecha de Despacho]]-VEND[[#This Row],[Fecha Estimada de Entrega a  Cliente]],"")</f>
        <v/>
      </c>
      <c r="R1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3" s="112" t="str">
        <f>IF(VEND[[#This Row],[STATUS]]="O.C","APROBADO",IF(VEND[[#This Row],[STATUS]]="PERDIDO","PERDIDO",IF(VEND[[#This Row],[STATUS]]="EN ESPERA","EN ESPERA")))</f>
        <v>PERDIDO</v>
      </c>
      <c r="T143" s="112" t="str">
        <f>IF(VEND[[#This Row],[STATUS]]="O.C","APROBADO",IF(VEND[[#This Row],[STATUS]]="PERDIDO","PERDIDO",IF(VEND[[#This Row],[STATUS]]="EN ESPERA","EN ESPERA")))</f>
        <v>PERDIDO</v>
      </c>
      <c r="U143" s="55" t="s">
        <v>23</v>
      </c>
      <c r="V143" s="55" t="s">
        <v>23</v>
      </c>
      <c r="W143" s="55" t="s">
        <v>1401</v>
      </c>
      <c r="X143" s="112"/>
    </row>
    <row r="144" spans="2:24" ht="15.75" x14ac:dyDescent="0.25">
      <c r="B144" s="71">
        <v>44277</v>
      </c>
      <c r="C144" s="71" t="str">
        <f>TEXT(VEND[[#This Row],[Fecha de Envío
Cotización]],"mmmm")</f>
        <v>marzo</v>
      </c>
      <c r="D144" s="71" t="s">
        <v>944</v>
      </c>
      <c r="E144" s="125" t="s">
        <v>83</v>
      </c>
      <c r="F144" s="125">
        <v>44280</v>
      </c>
      <c r="G144" s="125" t="str">
        <f>TEXT(VEND[[#This Row],[Fecha Recibe
O.C]],"mmmm")</f>
        <v>marzo</v>
      </c>
      <c r="H144" s="112">
        <v>26300</v>
      </c>
      <c r="I144" s="112" t="s">
        <v>76</v>
      </c>
      <c r="J144" s="112"/>
      <c r="K144" s="58">
        <v>3</v>
      </c>
      <c r="L144" s="123">
        <v>686.17</v>
      </c>
      <c r="M144" s="55" t="s">
        <v>22</v>
      </c>
      <c r="N144" s="112">
        <v>0</v>
      </c>
      <c r="O144" s="212">
        <f>IF(VEND[[#This Row],[STATUS]]="O.C",(VEND[[#This Row],[Fecha Recibe
O.C]]+VEND[[#This Row],[Dias
entrega ]]),"")</f>
        <v>44280</v>
      </c>
      <c r="P144" s="212"/>
      <c r="Q144" s="58">
        <f>IFERROR(VEND[[#This Row],[Fecha de Despacho]]-VEND[[#This Row],[Fecha Estimada de Entrega a  Cliente]],"")</f>
        <v>-44280</v>
      </c>
      <c r="R1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4" s="112" t="str">
        <f>IF(VEND[[#This Row],[STATUS]]="O.C","APROBADO",IF(VEND[[#This Row],[STATUS]]="PERDIDO","PERDIDO",IF(VEND[[#This Row],[STATUS]]="EN ESPERA","EN ESPERA")))</f>
        <v>APROBADO</v>
      </c>
      <c r="T144" s="112" t="str">
        <f>IF(VEND[[#This Row],[STATUS]]="O.C","APROBADO",IF(VEND[[#This Row],[STATUS]]="PERDIDO","PERDIDO",IF(VEND[[#This Row],[STATUS]]="EN ESPERA","EN ESPERA")))</f>
        <v>APROBADO</v>
      </c>
      <c r="U144" s="55" t="s">
        <v>45</v>
      </c>
      <c r="V144" s="55" t="s">
        <v>46</v>
      </c>
      <c r="W144" s="55" t="s">
        <v>1402</v>
      </c>
      <c r="X144" s="112"/>
    </row>
    <row r="145" spans="1:24" ht="15.75" x14ac:dyDescent="0.25">
      <c r="B145" s="71">
        <v>44277</v>
      </c>
      <c r="C145" s="71" t="str">
        <f>TEXT(VEND[[#This Row],[Fecha de Envío
Cotización]],"mmmm")</f>
        <v>marzo</v>
      </c>
      <c r="D145" s="66" t="s">
        <v>1163</v>
      </c>
      <c r="E145" s="125" t="s">
        <v>42</v>
      </c>
      <c r="F145" s="125" t="str">
        <f>IF(VEND[[#This Row],[STATUS]]="PERDIDO","N/A","En espera")</f>
        <v>N/A</v>
      </c>
      <c r="G145" s="125" t="str">
        <f>TEXT(VEND[[#This Row],[Fecha Recibe
O.C]],"mmmm")</f>
        <v>N/A</v>
      </c>
      <c r="H145" s="112" t="s">
        <v>1205</v>
      </c>
      <c r="I145" s="55" t="s">
        <v>1241</v>
      </c>
      <c r="J145" s="112"/>
      <c r="K145" s="58">
        <v>1</v>
      </c>
      <c r="L145" s="123">
        <v>2491</v>
      </c>
      <c r="M145" s="112"/>
      <c r="N145" s="112"/>
      <c r="O145" s="212" t="str">
        <f>IF(VEND[[#This Row],[STATUS]]="O.C",(VEND[[#This Row],[Fecha Recibe
O.C]]+VEND[[#This Row],[Dias
entrega ]]),"")</f>
        <v/>
      </c>
      <c r="P145" s="212"/>
      <c r="Q145" s="58" t="str">
        <f>IFERROR(VEND[[#This Row],[Fecha de Despacho]]-VEND[[#This Row],[Fecha Estimada de Entrega a  Cliente]],"")</f>
        <v/>
      </c>
      <c r="R1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5" s="112" t="str">
        <f>IF(VEND[[#This Row],[STATUS]]="O.C","APROBADO",IF(VEND[[#This Row],[STATUS]]="PERDIDO","PERDIDO",IF(VEND[[#This Row],[STATUS]]="EN ESPERA","EN ESPERA")))</f>
        <v>PERDIDO</v>
      </c>
      <c r="T145" s="112" t="str">
        <f>IF(VEND[[#This Row],[STATUS]]="O.C","APROBADO",IF(VEND[[#This Row],[STATUS]]="PERDIDO","PERDIDO",IF(VEND[[#This Row],[STATUS]]="EN ESPERA","EN ESPERA")))</f>
        <v>PERDIDO</v>
      </c>
      <c r="U145" s="55" t="s">
        <v>23</v>
      </c>
      <c r="V145" s="55" t="s">
        <v>23</v>
      </c>
      <c r="W145" s="55" t="s">
        <v>1409</v>
      </c>
      <c r="X145" s="112"/>
    </row>
    <row r="146" spans="1:24" ht="15.75" x14ac:dyDescent="0.25">
      <c r="B146" s="232">
        <v>44277</v>
      </c>
      <c r="C146" s="71" t="str">
        <f>TEXT(VEND[[#This Row],[Fecha de Envío
Cotización]],"mmmm")</f>
        <v>marzo</v>
      </c>
      <c r="D146" s="66" t="s">
        <v>1163</v>
      </c>
      <c r="E146" s="125" t="s">
        <v>83</v>
      </c>
      <c r="F146" s="93">
        <v>44307</v>
      </c>
      <c r="G146" s="93" t="str">
        <f>TEXT(VEND[[#This Row],[Fecha Recibe
O.C]],"mmmm")</f>
        <v>abril</v>
      </c>
      <c r="H146" s="112" t="s">
        <v>1204</v>
      </c>
      <c r="I146" s="55" t="s">
        <v>1241</v>
      </c>
      <c r="J146" s="112"/>
      <c r="K146" s="58">
        <v>1</v>
      </c>
      <c r="L146" s="123">
        <v>4820.3999999999996</v>
      </c>
      <c r="M146" s="55"/>
      <c r="N146" s="112"/>
      <c r="O146" s="212">
        <f>IF(VEND[[#This Row],[STATUS]]="O.C",(VEND[[#This Row],[Fecha Recibe
O.C]]+VEND[[#This Row],[Dias
entrega ]]),"")</f>
        <v>44307</v>
      </c>
      <c r="P146" s="212">
        <v>44378</v>
      </c>
      <c r="Q146" s="58">
        <f>IFERROR(VEND[[#This Row],[Fecha de Despacho]]-VEND[[#This Row],[Fecha Estimada de Entrega a  Cliente]],"")</f>
        <v>71</v>
      </c>
      <c r="R1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46" s="112" t="str">
        <f>IF(VEND[[#This Row],[STATUS]]="O.C","APROBADO",IF(VEND[[#This Row],[STATUS]]="PERDIDO","PERDIDO",IF(VEND[[#This Row],[STATUS]]="EN ESPERA","EN ESPERA")))</f>
        <v>APROBADO</v>
      </c>
      <c r="T146" s="112" t="str">
        <f>IF(VEND[[#This Row],[STATUS]]="O.C","APROBADO",IF(VEND[[#This Row],[STATUS]]="PERDIDO","PERDIDO",IF(VEND[[#This Row],[STATUS]]="EN ESPERA","EN ESPERA")))</f>
        <v>APROBADO</v>
      </c>
      <c r="U146" s="55" t="s">
        <v>45</v>
      </c>
      <c r="V146" s="55" t="s">
        <v>46</v>
      </c>
      <c r="W146" s="112" t="s">
        <v>1409</v>
      </c>
      <c r="X146" s="112" t="s">
        <v>2440</v>
      </c>
    </row>
    <row r="147" spans="1:24" ht="15.75" x14ac:dyDescent="0.25">
      <c r="B147" s="71">
        <v>44278</v>
      </c>
      <c r="C147" s="71" t="str">
        <f>TEXT(VEND[[#This Row],[Fecha de Envío
Cotización]],"mmmm")</f>
        <v>marzo</v>
      </c>
      <c r="D147" s="112" t="s">
        <v>68</v>
      </c>
      <c r="E147" s="125" t="s">
        <v>42</v>
      </c>
      <c r="F147" s="92" t="str">
        <f>IF(VEND[[#This Row],[STATUS]]="PERDIDO","N/A","En espera")</f>
        <v>N/A</v>
      </c>
      <c r="G147" s="125" t="str">
        <f>TEXT(VEND[[#This Row],[Fecha Recibe
O.C]],"mmmm")</f>
        <v>N/A</v>
      </c>
      <c r="H147" s="112">
        <v>20715</v>
      </c>
      <c r="I147" s="55" t="s">
        <v>91</v>
      </c>
      <c r="J147" s="112"/>
      <c r="K147" s="58">
        <v>13</v>
      </c>
      <c r="L147" s="123">
        <v>482.21</v>
      </c>
      <c r="M147" s="55" t="s">
        <v>22</v>
      </c>
      <c r="N147" s="112">
        <v>0</v>
      </c>
      <c r="O147" s="212" t="str">
        <f>IF(VEND[[#This Row],[STATUS]]="O.C",(VEND[[#This Row],[Fecha Recibe
O.C]]+VEND[[#This Row],[Dias
entrega ]]),"")</f>
        <v/>
      </c>
      <c r="P147" s="212"/>
      <c r="Q147" s="58" t="str">
        <f>IFERROR(VEND[[#This Row],[Fecha de Despacho]]-VEND[[#This Row],[Fecha Estimada de Entrega a  Cliente]],"")</f>
        <v/>
      </c>
      <c r="R1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7" s="112" t="str">
        <f>IF(VEND[[#This Row],[STATUS]]="O.C","APROBADO",IF(VEND[[#This Row],[STATUS]]="PERDIDO","PERDIDO",IF(VEND[[#This Row],[STATUS]]="EN ESPERA","EN ESPERA")))</f>
        <v>PERDIDO</v>
      </c>
      <c r="T147" s="112" t="str">
        <f>IF(VEND[[#This Row],[STATUS]]="O.C","APROBADO",IF(VEND[[#This Row],[STATUS]]="PERDIDO","PERDIDO",IF(VEND[[#This Row],[STATUS]]="EN ESPERA","EN ESPERA")))</f>
        <v>PERDIDO</v>
      </c>
      <c r="U147" s="55" t="s">
        <v>23</v>
      </c>
      <c r="V147" s="55" t="s">
        <v>23</v>
      </c>
      <c r="W147" s="112" t="s">
        <v>1401</v>
      </c>
      <c r="X147" s="112"/>
    </row>
    <row r="148" spans="1:24" ht="15.75" x14ac:dyDescent="0.25">
      <c r="B148" s="71">
        <v>44278</v>
      </c>
      <c r="C148" s="71" t="str">
        <f>TEXT(VEND[[#This Row],[Fecha de Envío
Cotización]],"mmmm")</f>
        <v>marzo</v>
      </c>
      <c r="D148" s="112" t="s">
        <v>68</v>
      </c>
      <c r="E148" s="125" t="s">
        <v>83</v>
      </c>
      <c r="F148" s="92">
        <v>44302</v>
      </c>
      <c r="G148" s="125" t="str">
        <f>TEXT(VEND[[#This Row],[Fecha Recibe
O.C]],"mmmm")</f>
        <v>abril</v>
      </c>
      <c r="H148" s="112">
        <v>20716</v>
      </c>
      <c r="I148" s="55" t="s">
        <v>91</v>
      </c>
      <c r="J148" s="112"/>
      <c r="K148" s="58">
        <v>16</v>
      </c>
      <c r="L148" s="123">
        <v>528.02</v>
      </c>
      <c r="M148" s="55" t="s">
        <v>22</v>
      </c>
      <c r="N148" s="112">
        <v>0</v>
      </c>
      <c r="O148" s="212">
        <f>IF(VEND[[#This Row],[STATUS]]="O.C",(VEND[[#This Row],[Fecha Recibe
O.C]]+VEND[[#This Row],[Dias
entrega ]]),"")</f>
        <v>44302</v>
      </c>
      <c r="P148" s="212"/>
      <c r="Q148" s="58">
        <f>IFERROR(VEND[[#This Row],[Fecha de Despacho]]-VEND[[#This Row],[Fecha Estimada de Entrega a  Cliente]],"")</f>
        <v>-44302</v>
      </c>
      <c r="R1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8" s="112" t="str">
        <f>IF(VEND[[#This Row],[STATUS]]="O.C","APROBADO",IF(VEND[[#This Row],[STATUS]]="PERDIDO","PERDIDO",IF(VEND[[#This Row],[STATUS]]="EN ESPERA","EN ESPERA")))</f>
        <v>APROBADO</v>
      </c>
      <c r="T148" s="112" t="str">
        <f>IF(VEND[[#This Row],[STATUS]]="O.C","APROBADO",IF(VEND[[#This Row],[STATUS]]="PERDIDO","PERDIDO",IF(VEND[[#This Row],[STATUS]]="EN ESPERA","EN ESPERA")))</f>
        <v>APROBADO</v>
      </c>
      <c r="U148" s="55" t="s">
        <v>46</v>
      </c>
      <c r="V148" s="55" t="s">
        <v>47</v>
      </c>
      <c r="W148" s="112" t="s">
        <v>1401</v>
      </c>
      <c r="X148" s="112" t="s">
        <v>1419</v>
      </c>
    </row>
    <row r="149" spans="1:24" ht="15.75" x14ac:dyDescent="0.25">
      <c r="A149" s="9"/>
      <c r="B149" s="71">
        <v>44278</v>
      </c>
      <c r="C149" s="71" t="str">
        <f>TEXT(VEND[[#This Row],[Fecha de Envío
Cotización]],"mmmm")</f>
        <v>marzo</v>
      </c>
      <c r="D149" s="71" t="s">
        <v>41</v>
      </c>
      <c r="E149" s="125" t="s">
        <v>42</v>
      </c>
      <c r="F149" s="92" t="str">
        <f>IF(VEND[[#This Row],[STATUS]]="PERDIDO","N/A","En espera")</f>
        <v>N/A</v>
      </c>
      <c r="G149" s="125" t="str">
        <f>TEXT(VEND[[#This Row],[Fecha Recibe
O.C]],"mmmm")</f>
        <v>N/A</v>
      </c>
      <c r="H149" s="112">
        <v>26829</v>
      </c>
      <c r="I149" s="55" t="s">
        <v>76</v>
      </c>
      <c r="J149" s="112"/>
      <c r="K149" s="58">
        <v>1</v>
      </c>
      <c r="L149" s="123">
        <v>7680</v>
      </c>
      <c r="M149" s="55" t="s">
        <v>22</v>
      </c>
      <c r="N149" s="112">
        <v>0</v>
      </c>
      <c r="O149" s="212" t="str">
        <f>IF(VEND[[#This Row],[STATUS]]="O.C",(VEND[[#This Row],[Fecha Recibe
O.C]]+VEND[[#This Row],[Dias
entrega ]]),"")</f>
        <v/>
      </c>
      <c r="P149" s="212"/>
      <c r="Q149" s="58" t="str">
        <f>IFERROR(VEND[[#This Row],[Fecha de Despacho]]-VEND[[#This Row],[Fecha Estimada de Entrega a  Cliente]],"")</f>
        <v/>
      </c>
      <c r="R1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49" s="112" t="str">
        <f>IF(VEND[[#This Row],[STATUS]]="O.C","APROBADO",IF(VEND[[#This Row],[STATUS]]="PERDIDO","PERDIDO",IF(VEND[[#This Row],[STATUS]]="EN ESPERA","EN ESPERA")))</f>
        <v>PERDIDO</v>
      </c>
      <c r="T149" s="112" t="str">
        <f>IF(VEND[[#This Row],[STATUS]]="O.C","APROBADO",IF(VEND[[#This Row],[STATUS]]="PERDIDO","PERDIDO",IF(VEND[[#This Row],[STATUS]]="EN ESPERA","EN ESPERA")))</f>
        <v>PERDIDO</v>
      </c>
      <c r="U149" s="55" t="s">
        <v>23</v>
      </c>
      <c r="V149" s="55" t="s">
        <v>23</v>
      </c>
      <c r="W149" s="112" t="s">
        <v>1407</v>
      </c>
      <c r="X149" s="112"/>
    </row>
    <row r="150" spans="1:24" ht="15.75" x14ac:dyDescent="0.25">
      <c r="B150" s="71">
        <v>44278</v>
      </c>
      <c r="C150" s="71" t="str">
        <f>TEXT(VEND[[#This Row],[Fecha de Envío
Cotización]],"mmmm")</f>
        <v>marzo</v>
      </c>
      <c r="D150" s="66" t="s">
        <v>1163</v>
      </c>
      <c r="E150" s="125" t="s">
        <v>42</v>
      </c>
      <c r="F150" s="115" t="str">
        <f>IF(VEND[[#This Row],[STATUS]]="PERDIDO","N/A","En espera")</f>
        <v>N/A</v>
      </c>
      <c r="G150" s="125" t="str">
        <f>TEXT(VEND[[#This Row],[Fecha Recibe
O.C]],"mmmm")</f>
        <v>N/A</v>
      </c>
      <c r="H150" s="112" t="s">
        <v>1206</v>
      </c>
      <c r="I150" s="55" t="s">
        <v>1242</v>
      </c>
      <c r="J150" s="112"/>
      <c r="K150" s="58">
        <v>1</v>
      </c>
      <c r="L150" s="123">
        <v>622.4</v>
      </c>
      <c r="M150" s="112"/>
      <c r="N150" s="112"/>
      <c r="O150" s="212" t="str">
        <f>IF(VEND[[#This Row],[STATUS]]="O.C",(VEND[[#This Row],[Fecha Recibe
O.C]]+VEND[[#This Row],[Dias
entrega ]]),"")</f>
        <v/>
      </c>
      <c r="P150" s="212"/>
      <c r="Q150" s="58" t="str">
        <f>IFERROR(VEND[[#This Row],[Fecha de Despacho]]-VEND[[#This Row],[Fecha Estimada de Entrega a  Cliente]],"")</f>
        <v/>
      </c>
      <c r="R1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0" s="112" t="str">
        <f>IF(VEND[[#This Row],[STATUS]]="O.C","APROBADO",IF(VEND[[#This Row],[STATUS]]="PERDIDO","PERDIDO",IF(VEND[[#This Row],[STATUS]]="EN ESPERA","EN ESPERA")))</f>
        <v>PERDIDO</v>
      </c>
      <c r="T150" s="112" t="str">
        <f>IF(VEND[[#This Row],[STATUS]]="O.C","APROBADO",IF(VEND[[#This Row],[STATUS]]="PERDIDO","PERDIDO",IF(VEND[[#This Row],[STATUS]]="EN ESPERA","EN ESPERA")))</f>
        <v>PERDIDO</v>
      </c>
      <c r="U150" s="112" t="s">
        <v>23</v>
      </c>
      <c r="V150" s="112" t="s">
        <v>23</v>
      </c>
      <c r="W150" s="112" t="s">
        <v>1401</v>
      </c>
      <c r="X150" s="112"/>
    </row>
    <row r="151" spans="1:24" ht="15.75" x14ac:dyDescent="0.25">
      <c r="B151" s="71">
        <v>44278</v>
      </c>
      <c r="C151" s="71" t="str">
        <f>TEXT(VEND[[#This Row],[Fecha de Envío
Cotización]],"mmmm")</f>
        <v>marzo</v>
      </c>
      <c r="D151" s="66" t="s">
        <v>1163</v>
      </c>
      <c r="E151" s="125" t="s">
        <v>83</v>
      </c>
      <c r="F151" s="125">
        <v>44321</v>
      </c>
      <c r="G151" s="125" t="str">
        <f>TEXT(VEND[[#This Row],[Fecha Recibe
O.C]],"mmmm")</f>
        <v>mayo</v>
      </c>
      <c r="H151" s="112" t="s">
        <v>1210</v>
      </c>
      <c r="I151" s="55" t="s">
        <v>1242</v>
      </c>
      <c r="J151" s="112"/>
      <c r="K151" s="58">
        <v>1</v>
      </c>
      <c r="L151" s="123">
        <v>7974</v>
      </c>
      <c r="M151" s="112"/>
      <c r="N151" s="112"/>
      <c r="O151" s="212">
        <f>IF(VEND[[#This Row],[STATUS]]="O.C",(VEND[[#This Row],[Fecha Recibe
O.C]]+VEND[[#This Row],[Dias
entrega ]]),"")</f>
        <v>44321</v>
      </c>
      <c r="P151" s="212"/>
      <c r="Q151" s="58">
        <f>IFERROR(VEND[[#This Row],[Fecha de Despacho]]-VEND[[#This Row],[Fecha Estimada de Entrega a  Cliente]],"")</f>
        <v>-44321</v>
      </c>
      <c r="R1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1" s="112" t="str">
        <f>IF(VEND[[#This Row],[STATUS]]="O.C","APROBADO",IF(VEND[[#This Row],[STATUS]]="PERDIDO","PERDIDO",IF(VEND[[#This Row],[STATUS]]="EN ESPERA","EN ESPERA")))</f>
        <v>APROBADO</v>
      </c>
      <c r="T151" s="112" t="str">
        <f>IF(VEND[[#This Row],[STATUS]]="O.C","APROBADO",IF(VEND[[#This Row],[STATUS]]="PERDIDO","PERDIDO",IF(VEND[[#This Row],[STATUS]]="EN ESPERA","EN ESPERA")))</f>
        <v>APROBADO</v>
      </c>
      <c r="U151" s="112" t="s">
        <v>46</v>
      </c>
      <c r="V151" s="112" t="s">
        <v>46</v>
      </c>
      <c r="W151" s="112" t="s">
        <v>1401</v>
      </c>
      <c r="X151" s="112" t="s">
        <v>1244</v>
      </c>
    </row>
    <row r="152" spans="1:24" ht="15.75" x14ac:dyDescent="0.25">
      <c r="B152" s="232">
        <v>44278</v>
      </c>
      <c r="C152" s="71" t="str">
        <f>TEXT(VEND[[#This Row],[Fecha de Envío
Cotización]],"mmmm")</f>
        <v>marzo</v>
      </c>
      <c r="D152" s="66" t="s">
        <v>1163</v>
      </c>
      <c r="E152" s="125" t="s">
        <v>83</v>
      </c>
      <c r="F152" s="93">
        <v>44291</v>
      </c>
      <c r="G152" s="93" t="str">
        <f>TEXT(VEND[[#This Row],[Fecha Recibe
O.C]],"mmmm")</f>
        <v>abril</v>
      </c>
      <c r="H152" s="112" t="s">
        <v>1207</v>
      </c>
      <c r="I152" s="112" t="s">
        <v>1242</v>
      </c>
      <c r="J152" s="112"/>
      <c r="K152" s="58">
        <v>1</v>
      </c>
      <c r="L152" s="123">
        <v>690</v>
      </c>
      <c r="M152" s="55"/>
      <c r="N152" s="112"/>
      <c r="O152" s="212">
        <f>IF(VEND[[#This Row],[STATUS]]="O.C",(VEND[[#This Row],[Fecha Recibe
O.C]]+VEND[[#This Row],[Dias
entrega ]]),"")</f>
        <v>44291</v>
      </c>
      <c r="P152" s="212"/>
      <c r="Q152" s="58">
        <f>IFERROR(VEND[[#This Row],[Fecha de Despacho]]-VEND[[#This Row],[Fecha Estimada de Entrega a  Cliente]],"")</f>
        <v>-44291</v>
      </c>
      <c r="R1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2" s="112" t="str">
        <f>IF(VEND[[#This Row],[STATUS]]="O.C","APROBADO",IF(VEND[[#This Row],[STATUS]]="PERDIDO","PERDIDO",IF(VEND[[#This Row],[STATUS]]="EN ESPERA","EN ESPERA")))</f>
        <v>APROBADO</v>
      </c>
      <c r="T152" s="112" t="str">
        <f>IF(VEND[[#This Row],[STATUS]]="O.C","APROBADO",IF(VEND[[#This Row],[STATUS]]="PERDIDO","PERDIDO",IF(VEND[[#This Row],[STATUS]]="EN ESPERA","EN ESPERA")))</f>
        <v>APROBADO</v>
      </c>
      <c r="U152" s="55" t="s">
        <v>45</v>
      </c>
      <c r="V152" s="55" t="s">
        <v>47</v>
      </c>
      <c r="W152" s="55" t="s">
        <v>1401</v>
      </c>
      <c r="X152" s="112">
        <v>936</v>
      </c>
    </row>
    <row r="153" spans="1:24" ht="15.75" x14ac:dyDescent="0.25">
      <c r="B153" s="232">
        <v>44278</v>
      </c>
      <c r="C153" s="71" t="str">
        <f>TEXT(VEND[[#This Row],[Fecha de Envío
Cotización]],"mmmm")</f>
        <v>marzo</v>
      </c>
      <c r="D153" s="66" t="s">
        <v>1163</v>
      </c>
      <c r="E153" s="125" t="s">
        <v>83</v>
      </c>
      <c r="F153" s="93">
        <v>44291</v>
      </c>
      <c r="G153" s="93" t="str">
        <f>TEXT(VEND[[#This Row],[Fecha Recibe
O.C]],"mmmm")</f>
        <v>abril</v>
      </c>
      <c r="H153" s="112" t="s">
        <v>1208</v>
      </c>
      <c r="I153" s="112" t="s">
        <v>1242</v>
      </c>
      <c r="J153" s="112"/>
      <c r="K153" s="58">
        <v>1</v>
      </c>
      <c r="L153" s="123">
        <v>720</v>
      </c>
      <c r="M153" s="55"/>
      <c r="N153" s="112"/>
      <c r="O153" s="212">
        <f>IF(VEND[[#This Row],[STATUS]]="O.C",(VEND[[#This Row],[Fecha Recibe
O.C]]+VEND[[#This Row],[Dias
entrega ]]),"")</f>
        <v>44291</v>
      </c>
      <c r="P153" s="212"/>
      <c r="Q153" s="58">
        <f>IFERROR(VEND[[#This Row],[Fecha de Despacho]]-VEND[[#This Row],[Fecha Estimada de Entrega a  Cliente]],"")</f>
        <v>-44291</v>
      </c>
      <c r="R1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3" s="112" t="str">
        <f>IF(VEND[[#This Row],[STATUS]]="O.C","APROBADO",IF(VEND[[#This Row],[STATUS]]="PERDIDO","PERDIDO",IF(VEND[[#This Row],[STATUS]]="EN ESPERA","EN ESPERA")))</f>
        <v>APROBADO</v>
      </c>
      <c r="T153" s="112" t="str">
        <f>IF(VEND[[#This Row],[STATUS]]="O.C","APROBADO",IF(VEND[[#This Row],[STATUS]]="PERDIDO","PERDIDO",IF(VEND[[#This Row],[STATUS]]="EN ESPERA","EN ESPERA")))</f>
        <v>APROBADO</v>
      </c>
      <c r="U153" s="55" t="s">
        <v>45</v>
      </c>
      <c r="V153" s="55" t="s">
        <v>47</v>
      </c>
      <c r="W153" s="55" t="s">
        <v>1401</v>
      </c>
      <c r="X153" s="112">
        <v>940</v>
      </c>
    </row>
    <row r="154" spans="1:24" ht="15.75" x14ac:dyDescent="0.25">
      <c r="B154" s="232">
        <v>44278</v>
      </c>
      <c r="C154" s="71" t="str">
        <f>TEXT(VEND[[#This Row],[Fecha de Envío
Cotización]],"mmmm")</f>
        <v>marzo</v>
      </c>
      <c r="D154" s="66" t="s">
        <v>1163</v>
      </c>
      <c r="E154" s="125" t="s">
        <v>83</v>
      </c>
      <c r="F154" s="93">
        <v>44291</v>
      </c>
      <c r="G154" s="93" t="str">
        <f>TEXT(VEND[[#This Row],[Fecha Recibe
O.C]],"mmmm")</f>
        <v>abril</v>
      </c>
      <c r="H154" s="112" t="s">
        <v>1209</v>
      </c>
      <c r="I154" s="55" t="s">
        <v>1242</v>
      </c>
      <c r="J154" s="112"/>
      <c r="K154" s="58">
        <v>1</v>
      </c>
      <c r="L154" s="123">
        <v>1380</v>
      </c>
      <c r="M154" s="112"/>
      <c r="N154" s="112"/>
      <c r="O154" s="212">
        <f>IF(VEND[[#This Row],[STATUS]]="O.C",(VEND[[#This Row],[Fecha Recibe
O.C]]+VEND[[#This Row],[Dias
entrega ]]),"")</f>
        <v>44291</v>
      </c>
      <c r="P154" s="212"/>
      <c r="Q154" s="58">
        <f>IFERROR(VEND[[#This Row],[Fecha de Despacho]]-VEND[[#This Row],[Fecha Estimada de Entrega a  Cliente]],"")</f>
        <v>-44291</v>
      </c>
      <c r="R1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4" s="112" t="str">
        <f>IF(VEND[[#This Row],[STATUS]]="O.C","APROBADO",IF(VEND[[#This Row],[STATUS]]="PERDIDO","PERDIDO",IF(VEND[[#This Row],[STATUS]]="EN ESPERA","EN ESPERA")))</f>
        <v>APROBADO</v>
      </c>
      <c r="T154" s="112" t="str">
        <f>IF(VEND[[#This Row],[STATUS]]="O.C","APROBADO",IF(VEND[[#This Row],[STATUS]]="PERDIDO","PERDIDO",IF(VEND[[#This Row],[STATUS]]="EN ESPERA","EN ESPERA")))</f>
        <v>APROBADO</v>
      </c>
      <c r="U154" s="55" t="s">
        <v>45</v>
      </c>
      <c r="V154" s="55" t="s">
        <v>47</v>
      </c>
      <c r="W154" s="112" t="s">
        <v>1401</v>
      </c>
      <c r="X154" s="112" t="s">
        <v>2421</v>
      </c>
    </row>
    <row r="155" spans="1:24" ht="15.75" x14ac:dyDescent="0.25">
      <c r="B155" s="71">
        <v>44279</v>
      </c>
      <c r="C155" s="71" t="str">
        <f>TEXT(VEND[[#This Row],[Fecha de Envío
Cotización]],"mmmm")</f>
        <v>marzo</v>
      </c>
      <c r="D155" s="112" t="s">
        <v>50</v>
      </c>
      <c r="E155" s="125" t="s">
        <v>83</v>
      </c>
      <c r="F155" s="115">
        <v>44292</v>
      </c>
      <c r="G155" s="125" t="str">
        <f>TEXT(VEND[[#This Row],[Fecha Recibe
O.C]],"mmmm")</f>
        <v>abril</v>
      </c>
      <c r="H155" s="112">
        <v>20170</v>
      </c>
      <c r="I155" s="112" t="s">
        <v>90</v>
      </c>
      <c r="J155" s="112"/>
      <c r="K155" s="58">
        <v>5</v>
      </c>
      <c r="L155" s="123">
        <v>589.6</v>
      </c>
      <c r="M155" s="61" t="s">
        <v>36</v>
      </c>
      <c r="N155" s="112">
        <v>28</v>
      </c>
      <c r="O155" s="212">
        <f>IF(VEND[[#This Row],[STATUS]]="O.C",(VEND[[#This Row],[Fecha Recibe
O.C]]+VEND[[#This Row],[Dias
entrega ]]),"")</f>
        <v>44320</v>
      </c>
      <c r="P155" s="212">
        <v>44330</v>
      </c>
      <c r="Q155" s="58">
        <f>IFERROR(VEND[[#This Row],[Fecha de Despacho]]-VEND[[#This Row],[Fecha Estimada de Entrega a  Cliente]],"")</f>
        <v>10</v>
      </c>
      <c r="R1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55" s="112" t="str">
        <f>IF(VEND[[#This Row],[STATUS]]="O.C","APROBADO",IF(VEND[[#This Row],[STATUS]]="PERDIDO","PERDIDO",IF(VEND[[#This Row],[STATUS]]="EN ESPERA","EN ESPERA")))</f>
        <v>APROBADO</v>
      </c>
      <c r="T155" s="112" t="str">
        <f>IF(VEND[[#This Row],[STATUS]]="O.C","APROBADO",IF(VEND[[#This Row],[STATUS]]="PERDIDO","PERDIDO",IF(VEND[[#This Row],[STATUS]]="EN ESPERA","EN ESPERA")))</f>
        <v>APROBADO</v>
      </c>
      <c r="U155" s="112" t="s">
        <v>46</v>
      </c>
      <c r="V155" s="112" t="s">
        <v>46</v>
      </c>
      <c r="W155" s="112" t="s">
        <v>1403</v>
      </c>
      <c r="X155" s="112" t="s">
        <v>107</v>
      </c>
    </row>
    <row r="156" spans="1:24" ht="15.75" x14ac:dyDescent="0.25">
      <c r="B156" s="71">
        <v>44279</v>
      </c>
      <c r="C156" s="71" t="str">
        <f>TEXT(VEND[[#This Row],[Fecha de Envío
Cotización]],"mmmm")</f>
        <v>marzo</v>
      </c>
      <c r="D156" s="66" t="s">
        <v>944</v>
      </c>
      <c r="E156" s="125" t="s">
        <v>42</v>
      </c>
      <c r="F156" s="92" t="str">
        <f>IF(VEND[[#This Row],[STATUS]]="PERDIDO","N/A","En espera")</f>
        <v>N/A</v>
      </c>
      <c r="G156" s="125" t="str">
        <f>TEXT(VEND[[#This Row],[Fecha Recibe
O.C]],"mmmm")</f>
        <v>N/A</v>
      </c>
      <c r="H156" s="112">
        <v>262909</v>
      </c>
      <c r="I156" s="112" t="s">
        <v>130</v>
      </c>
      <c r="J156" s="112"/>
      <c r="K156" s="58">
        <v>1</v>
      </c>
      <c r="L156" s="123">
        <v>333.5</v>
      </c>
      <c r="M156" s="112" t="s">
        <v>124</v>
      </c>
      <c r="N156" s="112">
        <v>35</v>
      </c>
      <c r="O156" s="212" t="str">
        <f>IF(VEND[[#This Row],[STATUS]]="O.C",(VEND[[#This Row],[Fecha Recibe
O.C]]+VEND[[#This Row],[Dias
entrega ]]),"")</f>
        <v/>
      </c>
      <c r="P156" s="212"/>
      <c r="Q156" s="58" t="str">
        <f>IFERROR(VEND[[#This Row],[Fecha de Despacho]]-VEND[[#This Row],[Fecha Estimada de Entrega a  Cliente]],"")</f>
        <v/>
      </c>
      <c r="R1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6" s="112" t="str">
        <f>IF(VEND[[#This Row],[STATUS]]="O.C","APROBADO",IF(VEND[[#This Row],[STATUS]]="PERDIDO","PERDIDO",IF(VEND[[#This Row],[STATUS]]="EN ESPERA","EN ESPERA")))</f>
        <v>PERDIDO</v>
      </c>
      <c r="T156" s="112" t="str">
        <f>IF(VEND[[#This Row],[STATUS]]="O.C","APROBADO",IF(VEND[[#This Row],[STATUS]]="PERDIDO","PERDIDO",IF(VEND[[#This Row],[STATUS]]="EN ESPERA","EN ESPERA")))</f>
        <v>PERDIDO</v>
      </c>
      <c r="U156" s="112" t="s">
        <v>23</v>
      </c>
      <c r="V156" s="112" t="s">
        <v>23</v>
      </c>
      <c r="W156" s="112" t="s">
        <v>1409</v>
      </c>
      <c r="X156" s="112" t="s">
        <v>132</v>
      </c>
    </row>
    <row r="157" spans="1:24" ht="15.75" x14ac:dyDescent="0.25">
      <c r="B157" s="71">
        <v>44279</v>
      </c>
      <c r="C157" s="71" t="str">
        <f>TEXT(VEND[[#This Row],[Fecha de Envío
Cotización]],"mmmm")</f>
        <v>marzo</v>
      </c>
      <c r="D157" s="66" t="s">
        <v>945</v>
      </c>
      <c r="E157" s="125" t="s">
        <v>42</v>
      </c>
      <c r="F157" s="92" t="str">
        <f>IF(VEND[[#This Row],[STATUS]]="PERDIDO","N/A","En espera")</f>
        <v>N/A</v>
      </c>
      <c r="G157" s="125" t="str">
        <f>TEXT(VEND[[#This Row],[Fecha Recibe
O.C]],"mmmm")</f>
        <v>N/A</v>
      </c>
      <c r="H157" s="112">
        <v>262910</v>
      </c>
      <c r="I157" s="112" t="s">
        <v>130</v>
      </c>
      <c r="J157" s="112"/>
      <c r="K157" s="58">
        <v>3</v>
      </c>
      <c r="L157" s="123">
        <v>9567.48</v>
      </c>
      <c r="M157" s="112" t="s">
        <v>56</v>
      </c>
      <c r="N157" s="112">
        <v>42</v>
      </c>
      <c r="O157" s="212" t="str">
        <f>IF(VEND[[#This Row],[STATUS]]="O.C",(VEND[[#This Row],[Fecha Recibe
O.C]]+VEND[[#This Row],[Dias
entrega ]]),"")</f>
        <v/>
      </c>
      <c r="P157" s="212"/>
      <c r="Q157" s="58" t="str">
        <f>IFERROR(VEND[[#This Row],[Fecha de Despacho]]-VEND[[#This Row],[Fecha Estimada de Entrega a  Cliente]],"")</f>
        <v/>
      </c>
      <c r="R1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7" s="112" t="str">
        <f>IF(VEND[[#This Row],[STATUS]]="O.C","APROBADO",IF(VEND[[#This Row],[STATUS]]="PERDIDO","PERDIDO",IF(VEND[[#This Row],[STATUS]]="EN ESPERA","EN ESPERA")))</f>
        <v>PERDIDO</v>
      </c>
      <c r="T157" s="112" t="str">
        <f>IF(VEND[[#This Row],[STATUS]]="O.C","APROBADO",IF(VEND[[#This Row],[STATUS]]="PERDIDO","PERDIDO",IF(VEND[[#This Row],[STATUS]]="EN ESPERA","EN ESPERA")))</f>
        <v>PERDIDO</v>
      </c>
      <c r="U157" s="112" t="s">
        <v>23</v>
      </c>
      <c r="V157" s="112" t="s">
        <v>23</v>
      </c>
      <c r="W157" s="112" t="s">
        <v>1409</v>
      </c>
      <c r="X157" s="112"/>
    </row>
    <row r="158" spans="1:24" ht="15.75" x14ac:dyDescent="0.25">
      <c r="B158" s="71">
        <v>44279</v>
      </c>
      <c r="C158" s="71" t="str">
        <f>TEXT(VEND[[#This Row],[Fecha de Envío
Cotización]],"mmmm")</f>
        <v>marzo</v>
      </c>
      <c r="D158" s="66" t="s">
        <v>945</v>
      </c>
      <c r="E158" s="125" t="s">
        <v>42</v>
      </c>
      <c r="F158" s="92" t="str">
        <f>IF(VEND[[#This Row],[STATUS]]="PERDIDO","N/A","En espera")</f>
        <v>N/A</v>
      </c>
      <c r="G158" s="125" t="str">
        <f>TEXT(VEND[[#This Row],[Fecha Recibe
O.C]],"mmmm")</f>
        <v>N/A</v>
      </c>
      <c r="H158" s="112">
        <v>262911</v>
      </c>
      <c r="I158" s="112" t="s">
        <v>130</v>
      </c>
      <c r="J158" s="112"/>
      <c r="K158" s="58">
        <v>6</v>
      </c>
      <c r="L158" s="123">
        <v>1629.21</v>
      </c>
      <c r="M158" s="112" t="s">
        <v>16</v>
      </c>
      <c r="N158" s="112">
        <v>21</v>
      </c>
      <c r="O158" s="212" t="str">
        <f>IF(VEND[[#This Row],[STATUS]]="O.C",(VEND[[#This Row],[Fecha Recibe
O.C]]+VEND[[#This Row],[Dias
entrega ]]),"")</f>
        <v/>
      </c>
      <c r="P158" s="212"/>
      <c r="Q158" s="58" t="str">
        <f>IFERROR(VEND[[#This Row],[Fecha de Despacho]]-VEND[[#This Row],[Fecha Estimada de Entrega a  Cliente]],"")</f>
        <v/>
      </c>
      <c r="R1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8" s="112" t="str">
        <f>IF(VEND[[#This Row],[STATUS]]="O.C","APROBADO",IF(VEND[[#This Row],[STATUS]]="PERDIDO","PERDIDO",IF(VEND[[#This Row],[STATUS]]="EN ESPERA","EN ESPERA")))</f>
        <v>PERDIDO</v>
      </c>
      <c r="T158" s="112" t="str">
        <f>IF(VEND[[#This Row],[STATUS]]="O.C","APROBADO",IF(VEND[[#This Row],[STATUS]]="PERDIDO","PERDIDO",IF(VEND[[#This Row],[STATUS]]="EN ESPERA","EN ESPERA")))</f>
        <v>PERDIDO</v>
      </c>
      <c r="U158" s="55" t="s">
        <v>23</v>
      </c>
      <c r="V158" s="55" t="s">
        <v>23</v>
      </c>
      <c r="W158" s="55" t="s">
        <v>1409</v>
      </c>
      <c r="X158" s="112"/>
    </row>
    <row r="159" spans="1:24" ht="15.75" x14ac:dyDescent="0.25">
      <c r="B159" s="71">
        <v>44279</v>
      </c>
      <c r="C159" s="71" t="str">
        <f>TEXT(VEND[[#This Row],[Fecha de Envío
Cotización]],"mmmm")</f>
        <v>marzo</v>
      </c>
      <c r="D159" s="66" t="s">
        <v>945</v>
      </c>
      <c r="E159" s="125" t="s">
        <v>42</v>
      </c>
      <c r="F159" s="92" t="str">
        <f>IF(VEND[[#This Row],[STATUS]]="PERDIDO","N/A","En espera")</f>
        <v>N/A</v>
      </c>
      <c r="G159" s="125" t="str">
        <f>TEXT(VEND[[#This Row],[Fecha Recibe
O.C]],"mmmm")</f>
        <v>N/A</v>
      </c>
      <c r="H159" s="112">
        <v>262912</v>
      </c>
      <c r="I159" s="112" t="s">
        <v>130</v>
      </c>
      <c r="J159" s="112"/>
      <c r="K159" s="58">
        <v>2</v>
      </c>
      <c r="L159" s="123">
        <v>1821.29</v>
      </c>
      <c r="M159" s="55" t="s">
        <v>16</v>
      </c>
      <c r="N159" s="112">
        <v>21</v>
      </c>
      <c r="O159" s="212" t="str">
        <f>IF(VEND[[#This Row],[STATUS]]="O.C",(VEND[[#This Row],[Fecha Recibe
O.C]]+VEND[[#This Row],[Dias
entrega ]]),"")</f>
        <v/>
      </c>
      <c r="P159" s="212"/>
      <c r="Q159" s="58" t="str">
        <f>IFERROR(VEND[[#This Row],[Fecha de Despacho]]-VEND[[#This Row],[Fecha Estimada de Entrega a  Cliente]],"")</f>
        <v/>
      </c>
      <c r="R1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59" s="112" t="str">
        <f>IF(VEND[[#This Row],[STATUS]]="O.C","APROBADO",IF(VEND[[#This Row],[STATUS]]="PERDIDO","PERDIDO",IF(VEND[[#This Row],[STATUS]]="EN ESPERA","EN ESPERA")))</f>
        <v>PERDIDO</v>
      </c>
      <c r="T159" s="112" t="str">
        <f>IF(VEND[[#This Row],[STATUS]]="O.C","APROBADO",IF(VEND[[#This Row],[STATUS]]="PERDIDO","PERDIDO",IF(VEND[[#This Row],[STATUS]]="EN ESPERA","EN ESPERA")))</f>
        <v>PERDIDO</v>
      </c>
      <c r="U159" s="55" t="s">
        <v>23</v>
      </c>
      <c r="V159" s="55" t="s">
        <v>23</v>
      </c>
      <c r="W159" s="55" t="s">
        <v>1409</v>
      </c>
      <c r="X159" s="112"/>
    </row>
    <row r="160" spans="1:24" ht="15.75" x14ac:dyDescent="0.25">
      <c r="B160" s="71">
        <v>44279</v>
      </c>
      <c r="C160" s="71" t="str">
        <f>TEXT(VEND[[#This Row],[Fecha de Envío
Cotización]],"mmmm")</f>
        <v>marzo</v>
      </c>
      <c r="D160" s="66" t="s">
        <v>944</v>
      </c>
      <c r="E160" s="125" t="s">
        <v>42</v>
      </c>
      <c r="F160" s="92" t="str">
        <f>IF(VEND[[#This Row],[STATUS]]="PERDIDO","N/A","En espera")</f>
        <v>N/A</v>
      </c>
      <c r="G160" s="125" t="str">
        <f>TEXT(VEND[[#This Row],[Fecha Recibe
O.C]],"mmmm")</f>
        <v>N/A</v>
      </c>
      <c r="H160" s="112">
        <v>262913</v>
      </c>
      <c r="I160" s="55" t="s">
        <v>130</v>
      </c>
      <c r="J160" s="112"/>
      <c r="K160" s="58">
        <v>1</v>
      </c>
      <c r="L160" s="123">
        <v>138.94999999999999</v>
      </c>
      <c r="M160" s="112" t="s">
        <v>57</v>
      </c>
      <c r="N160" s="112">
        <v>0</v>
      </c>
      <c r="O160" s="212" t="str">
        <f>IF(VEND[[#This Row],[STATUS]]="O.C",(VEND[[#This Row],[Fecha Recibe
O.C]]+VEND[[#This Row],[Dias
entrega ]]),"")</f>
        <v/>
      </c>
      <c r="P160" s="212"/>
      <c r="Q160" s="58" t="str">
        <f>IFERROR(VEND[[#This Row],[Fecha de Despacho]]-VEND[[#This Row],[Fecha Estimada de Entrega a  Cliente]],"")</f>
        <v/>
      </c>
      <c r="R1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0" s="112" t="str">
        <f>IF(VEND[[#This Row],[STATUS]]="O.C","APROBADO",IF(VEND[[#This Row],[STATUS]]="PERDIDO","PERDIDO",IF(VEND[[#This Row],[STATUS]]="EN ESPERA","EN ESPERA")))</f>
        <v>PERDIDO</v>
      </c>
      <c r="T160" s="112" t="str">
        <f>IF(VEND[[#This Row],[STATUS]]="O.C","APROBADO",IF(VEND[[#This Row],[STATUS]]="PERDIDO","PERDIDO",IF(VEND[[#This Row],[STATUS]]="EN ESPERA","EN ESPERA")))</f>
        <v>PERDIDO</v>
      </c>
      <c r="U160" s="112" t="s">
        <v>23</v>
      </c>
      <c r="V160" s="112" t="s">
        <v>23</v>
      </c>
      <c r="W160" s="112" t="s">
        <v>1409</v>
      </c>
      <c r="X160" s="112" t="s">
        <v>131</v>
      </c>
    </row>
    <row r="161" spans="2:24" ht="15.75" x14ac:dyDescent="0.25">
      <c r="B161" s="71">
        <v>44279</v>
      </c>
      <c r="C161" s="71" t="str">
        <f>TEXT(VEND[[#This Row],[Fecha de Envío
Cotización]],"mmmm")</f>
        <v>marzo</v>
      </c>
      <c r="D161" s="66" t="s">
        <v>944</v>
      </c>
      <c r="E161" s="125" t="s">
        <v>42</v>
      </c>
      <c r="F161" s="92" t="str">
        <f>IF(VEND[[#This Row],[STATUS]]="PERDIDO","N/A","En espera")</f>
        <v>N/A</v>
      </c>
      <c r="G161" s="125" t="str">
        <f>TEXT(VEND[[#This Row],[Fecha Recibe
O.C]],"mmmm")</f>
        <v>N/A</v>
      </c>
      <c r="H161" s="112">
        <v>262914</v>
      </c>
      <c r="I161" s="112" t="s">
        <v>130</v>
      </c>
      <c r="J161" s="112"/>
      <c r="K161" s="58">
        <v>1</v>
      </c>
      <c r="L161" s="123">
        <v>360</v>
      </c>
      <c r="M161" s="55" t="s">
        <v>16</v>
      </c>
      <c r="N161" s="112">
        <v>21</v>
      </c>
      <c r="O161" s="212" t="str">
        <f>IF(VEND[[#This Row],[STATUS]]="O.C",(VEND[[#This Row],[Fecha Recibe
O.C]]+VEND[[#This Row],[Dias
entrega ]]),"")</f>
        <v/>
      </c>
      <c r="P161" s="212"/>
      <c r="Q161" s="58" t="str">
        <f>IFERROR(VEND[[#This Row],[Fecha de Despacho]]-VEND[[#This Row],[Fecha Estimada de Entrega a  Cliente]],"")</f>
        <v/>
      </c>
      <c r="R1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1" s="112" t="str">
        <f>IF(VEND[[#This Row],[STATUS]]="O.C","APROBADO",IF(VEND[[#This Row],[STATUS]]="PERDIDO","PERDIDO",IF(VEND[[#This Row],[STATUS]]="EN ESPERA","EN ESPERA")))</f>
        <v>PERDIDO</v>
      </c>
      <c r="T161" s="112" t="str">
        <f>IF(VEND[[#This Row],[STATUS]]="O.C","APROBADO",IF(VEND[[#This Row],[STATUS]]="PERDIDO","PERDIDO",IF(VEND[[#This Row],[STATUS]]="EN ESPERA","EN ESPERA")))</f>
        <v>PERDIDO</v>
      </c>
      <c r="U161" s="55" t="s">
        <v>23</v>
      </c>
      <c r="V161" s="55" t="s">
        <v>23</v>
      </c>
      <c r="W161" s="55" t="s">
        <v>1409</v>
      </c>
      <c r="X161" s="112" t="s">
        <v>131</v>
      </c>
    </row>
    <row r="162" spans="2:24" ht="15.75" x14ac:dyDescent="0.25">
      <c r="B162" s="71">
        <v>44279</v>
      </c>
      <c r="C162" s="71" t="str">
        <f>TEXT(VEND[[#This Row],[Fecha de Envío
Cotización]],"mmmm")</f>
        <v>marzo</v>
      </c>
      <c r="D162" s="71" t="s">
        <v>944</v>
      </c>
      <c r="E162" s="125" t="s">
        <v>83</v>
      </c>
      <c r="F162" s="92">
        <v>44279</v>
      </c>
      <c r="G162" s="125" t="str">
        <f>TEXT(VEND[[#This Row],[Fecha Recibe
O.C]],"mmmm")</f>
        <v>marzo</v>
      </c>
      <c r="H162" s="112" t="s">
        <v>121</v>
      </c>
      <c r="I162" s="55" t="s">
        <v>101</v>
      </c>
      <c r="J162" s="112"/>
      <c r="K162" s="58">
        <v>1</v>
      </c>
      <c r="L162" s="123">
        <v>640</v>
      </c>
      <c r="M162" s="55" t="s">
        <v>22</v>
      </c>
      <c r="N162" s="112">
        <v>0</v>
      </c>
      <c r="O162" s="212">
        <f>IF(VEND[[#This Row],[STATUS]]="O.C",(VEND[[#This Row],[Fecha Recibe
O.C]]+VEND[[#This Row],[Dias
entrega ]]),"")</f>
        <v>44279</v>
      </c>
      <c r="P162" s="212"/>
      <c r="Q162" s="58">
        <f>IFERROR(VEND[[#This Row],[Fecha de Despacho]]-VEND[[#This Row],[Fecha Estimada de Entrega a  Cliente]],"")</f>
        <v>-44279</v>
      </c>
      <c r="R1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2" s="112" t="str">
        <f>IF(VEND[[#This Row],[STATUS]]="O.C","APROBADO",IF(VEND[[#This Row],[STATUS]]="PERDIDO","PERDIDO",IF(VEND[[#This Row],[STATUS]]="EN ESPERA","EN ESPERA")))</f>
        <v>APROBADO</v>
      </c>
      <c r="T162" s="112" t="str">
        <f>IF(VEND[[#This Row],[STATUS]]="O.C","APROBADO",IF(VEND[[#This Row],[STATUS]]="PERDIDO","PERDIDO",IF(VEND[[#This Row],[STATUS]]="EN ESPERA","EN ESPERA")))</f>
        <v>APROBADO</v>
      </c>
      <c r="U162" s="55" t="s">
        <v>45</v>
      </c>
      <c r="V162" s="55" t="s">
        <v>47</v>
      </c>
      <c r="W162" s="55"/>
      <c r="X162" s="112"/>
    </row>
    <row r="163" spans="2:24" ht="15.75" x14ac:dyDescent="0.25">
      <c r="B163" s="71">
        <v>44280</v>
      </c>
      <c r="C163" s="71" t="str">
        <f>TEXT(VEND[[#This Row],[Fecha de Envío
Cotización]],"mmmm")</f>
        <v>marzo</v>
      </c>
      <c r="D163" s="112" t="s">
        <v>41</v>
      </c>
      <c r="E163" s="125" t="s">
        <v>42</v>
      </c>
      <c r="F163" s="125" t="str">
        <f>IF(VEND[[#This Row],[STATUS]]="PERDIDO","N/A","En espera")</f>
        <v>N/A</v>
      </c>
      <c r="G163" s="125" t="str">
        <f>TEXT(VEND[[#This Row],[Fecha Recibe
O.C]],"mmmm")</f>
        <v>N/A</v>
      </c>
      <c r="H163" s="112">
        <v>1705</v>
      </c>
      <c r="I163" s="112" t="s">
        <v>95</v>
      </c>
      <c r="J163" s="112"/>
      <c r="K163" s="58">
        <v>1</v>
      </c>
      <c r="L163" s="123">
        <v>698</v>
      </c>
      <c r="M163" s="112" t="s">
        <v>73</v>
      </c>
      <c r="N163" s="112">
        <v>14</v>
      </c>
      <c r="O163" s="212" t="str">
        <f>IF(VEND[[#This Row],[STATUS]]="O.C",(VEND[[#This Row],[Fecha Recibe
O.C]]+VEND[[#This Row],[Dias
entrega ]]),"")</f>
        <v/>
      </c>
      <c r="P163" s="212"/>
      <c r="Q163" s="58" t="str">
        <f>IFERROR(VEND[[#This Row],[Fecha de Despacho]]-VEND[[#This Row],[Fecha Estimada de Entrega a  Cliente]],"")</f>
        <v/>
      </c>
      <c r="R1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3" s="112" t="str">
        <f>IF(VEND[[#This Row],[STATUS]]="O.C","APROBADO",IF(VEND[[#This Row],[STATUS]]="PERDIDO","PERDIDO",IF(VEND[[#This Row],[STATUS]]="EN ESPERA","EN ESPERA")))</f>
        <v>PERDIDO</v>
      </c>
      <c r="T163" s="112" t="str">
        <f>IF(VEND[[#This Row],[STATUS]]="O.C","APROBADO",IF(VEND[[#This Row],[STATUS]]="PERDIDO","PERDIDO",IF(VEND[[#This Row],[STATUS]]="EN ESPERA","EN ESPERA")))</f>
        <v>PERDIDO</v>
      </c>
      <c r="U163" s="112" t="s">
        <v>23</v>
      </c>
      <c r="V163" s="112" t="s">
        <v>23</v>
      </c>
      <c r="W163" s="112" t="s">
        <v>1402</v>
      </c>
      <c r="X163" s="112"/>
    </row>
    <row r="164" spans="2:24" ht="15.75" x14ac:dyDescent="0.25">
      <c r="B164" s="71">
        <v>44280</v>
      </c>
      <c r="C164" s="71" t="str">
        <f>TEXT(VEND[[#This Row],[Fecha de Envío
Cotización]],"mmmm")</f>
        <v>marzo</v>
      </c>
      <c r="D164" s="71" t="s">
        <v>945</v>
      </c>
      <c r="E164" s="125" t="s">
        <v>88</v>
      </c>
      <c r="F164" s="115" t="str">
        <f>IF(VEND[[#This Row],[STATUS]]="PERDIDO","N/A","En espera")</f>
        <v>En espera</v>
      </c>
      <c r="G164" s="125" t="str">
        <f>TEXT(VEND[[#This Row],[Fecha Recibe
O.C]],"mmmm")</f>
        <v>En espera</v>
      </c>
      <c r="H164" s="112">
        <v>20038</v>
      </c>
      <c r="I164" s="112" t="s">
        <v>14</v>
      </c>
      <c r="J164" s="112"/>
      <c r="K164" s="58">
        <v>1</v>
      </c>
      <c r="L164" s="123">
        <v>1476</v>
      </c>
      <c r="M164" s="112" t="s">
        <v>99</v>
      </c>
      <c r="N164" s="112">
        <v>14</v>
      </c>
      <c r="O164" s="212" t="str">
        <f>IF(VEND[[#This Row],[STATUS]]="O.C",(VEND[[#This Row],[Fecha Recibe
O.C]]+VEND[[#This Row],[Dias
entrega ]]),"")</f>
        <v/>
      </c>
      <c r="P164" s="212"/>
      <c r="Q164" s="58" t="str">
        <f>IFERROR(VEND[[#This Row],[Fecha de Despacho]]-VEND[[#This Row],[Fecha Estimada de Entrega a  Cliente]],"")</f>
        <v/>
      </c>
      <c r="R1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4" s="112" t="str">
        <f>IF(VEND[[#This Row],[STATUS]]="O.C","APROBADO",IF(VEND[[#This Row],[STATUS]]="PERDIDO","PERDIDO",IF(VEND[[#This Row],[STATUS]]="EN ESPERA","EN ESPERA")))</f>
        <v>EN ESPERA</v>
      </c>
      <c r="T164" s="112" t="str">
        <f>IF(VEND[[#This Row],[STATUS]]="O.C","APROBADO",IF(VEND[[#This Row],[STATUS]]="PERDIDO","PERDIDO",IF(VEND[[#This Row],[STATUS]]="EN ESPERA","EN ESPERA")))</f>
        <v>EN ESPERA</v>
      </c>
      <c r="U164" s="55" t="s">
        <v>23</v>
      </c>
      <c r="V164" s="55" t="s">
        <v>23</v>
      </c>
      <c r="W164" s="112" t="s">
        <v>1402</v>
      </c>
      <c r="X164" s="112"/>
    </row>
    <row r="165" spans="2:24" ht="15.75" x14ac:dyDescent="0.25">
      <c r="B165" s="71">
        <v>44280</v>
      </c>
      <c r="C165" s="71" t="str">
        <f>TEXT(VEND[[#This Row],[Fecha de Envío
Cotización]],"mmmm")</f>
        <v>marzo</v>
      </c>
      <c r="D165" s="71" t="s">
        <v>945</v>
      </c>
      <c r="E165" s="125" t="s">
        <v>42</v>
      </c>
      <c r="F165" s="115" t="str">
        <f>IF(VEND[[#This Row],[STATUS]]="PERDIDO","N/A","En espera")</f>
        <v>N/A</v>
      </c>
      <c r="G165" s="125" t="str">
        <f>TEXT(VEND[[#This Row],[Fecha Recibe
O.C]],"mmmm")</f>
        <v>N/A</v>
      </c>
      <c r="H165" s="112">
        <v>20039</v>
      </c>
      <c r="I165" s="55" t="s">
        <v>98</v>
      </c>
      <c r="J165" s="112"/>
      <c r="K165" s="58">
        <v>1</v>
      </c>
      <c r="L165" s="123">
        <v>386</v>
      </c>
      <c r="M165" s="112" t="s">
        <v>22</v>
      </c>
      <c r="N165" s="112">
        <v>0</v>
      </c>
      <c r="O165" s="212" t="str">
        <f>IF(VEND[[#This Row],[STATUS]]="O.C",(VEND[[#This Row],[Fecha Recibe
O.C]]+VEND[[#This Row],[Dias
entrega ]]),"")</f>
        <v/>
      </c>
      <c r="P165" s="212"/>
      <c r="Q165" s="58" t="str">
        <f>IFERROR(VEND[[#This Row],[Fecha de Despacho]]-VEND[[#This Row],[Fecha Estimada de Entrega a  Cliente]],"")</f>
        <v/>
      </c>
      <c r="R1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5" s="112" t="str">
        <f>IF(VEND[[#This Row],[STATUS]]="O.C","APROBADO",IF(VEND[[#This Row],[STATUS]]="PERDIDO","PERDIDO",IF(VEND[[#This Row],[STATUS]]="EN ESPERA","EN ESPERA")))</f>
        <v>PERDIDO</v>
      </c>
      <c r="T165" s="112" t="str">
        <f>IF(VEND[[#This Row],[STATUS]]="O.C","APROBADO",IF(VEND[[#This Row],[STATUS]]="PERDIDO","PERDIDO",IF(VEND[[#This Row],[STATUS]]="EN ESPERA","EN ESPERA")))</f>
        <v>PERDIDO</v>
      </c>
      <c r="U165" s="55" t="s">
        <v>23</v>
      </c>
      <c r="V165" s="55" t="s">
        <v>23</v>
      </c>
      <c r="W165" s="55" t="s">
        <v>1401</v>
      </c>
      <c r="X165" s="112"/>
    </row>
    <row r="166" spans="2:24" ht="15.75" x14ac:dyDescent="0.25">
      <c r="B166" s="71">
        <v>44280</v>
      </c>
      <c r="C166" s="71" t="str">
        <f>TEXT(VEND[[#This Row],[Fecha de Envío
Cotización]],"mmmm")</f>
        <v>marzo</v>
      </c>
      <c r="D166" s="112" t="s">
        <v>50</v>
      </c>
      <c r="E166" s="125" t="s">
        <v>42</v>
      </c>
      <c r="F166" s="115" t="str">
        <f>IF(VEND[[#This Row],[STATUS]]="PERDIDO","N/A","En espera")</f>
        <v>N/A</v>
      </c>
      <c r="G166" s="125" t="str">
        <f>TEXT(VEND[[#This Row],[Fecha Recibe
O.C]],"mmmm")</f>
        <v>N/A</v>
      </c>
      <c r="H166" s="112">
        <v>20202</v>
      </c>
      <c r="I166" s="55" t="s">
        <v>97</v>
      </c>
      <c r="J166" s="112"/>
      <c r="K166" s="58">
        <v>2</v>
      </c>
      <c r="L166" s="123">
        <v>490.43</v>
      </c>
      <c r="M166" s="112" t="s">
        <v>22</v>
      </c>
      <c r="N166" s="112">
        <v>0</v>
      </c>
      <c r="O166" s="212" t="str">
        <f>IF(VEND[[#This Row],[STATUS]]="O.C",(VEND[[#This Row],[Fecha Recibe
O.C]]+VEND[[#This Row],[Dias
entrega ]]),"")</f>
        <v/>
      </c>
      <c r="P166" s="212"/>
      <c r="Q166" s="58" t="str">
        <f>IFERROR(VEND[[#This Row],[Fecha de Despacho]]-VEND[[#This Row],[Fecha Estimada de Entrega a  Cliente]],"")</f>
        <v/>
      </c>
      <c r="R1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6" s="112" t="str">
        <f>IF(VEND[[#This Row],[STATUS]]="O.C","APROBADO",IF(VEND[[#This Row],[STATUS]]="PERDIDO","PERDIDO",IF(VEND[[#This Row],[STATUS]]="EN ESPERA","EN ESPERA")))</f>
        <v>PERDIDO</v>
      </c>
      <c r="T166" s="112" t="str">
        <f>IF(VEND[[#This Row],[STATUS]]="O.C","APROBADO",IF(VEND[[#This Row],[STATUS]]="PERDIDO","PERDIDO",IF(VEND[[#This Row],[STATUS]]="EN ESPERA","EN ESPERA")))</f>
        <v>PERDIDO</v>
      </c>
      <c r="U166" s="55" t="s">
        <v>23</v>
      </c>
      <c r="V166" s="55" t="s">
        <v>23</v>
      </c>
      <c r="W166" s="112" t="s">
        <v>1401</v>
      </c>
      <c r="X166" s="112" t="s">
        <v>43</v>
      </c>
    </row>
    <row r="167" spans="2:24" ht="15.75" x14ac:dyDescent="0.25">
      <c r="B167" s="71">
        <v>44280</v>
      </c>
      <c r="C167" s="71" t="str">
        <f>TEXT(VEND[[#This Row],[Fecha de Envío
Cotización]],"mmmm")</f>
        <v>marzo</v>
      </c>
      <c r="D167" s="112" t="s">
        <v>50</v>
      </c>
      <c r="E167" s="125" t="s">
        <v>42</v>
      </c>
      <c r="F167" s="115" t="str">
        <f>IF(VEND[[#This Row],[STATUS]]="PERDIDO","N/A","En espera")</f>
        <v>N/A</v>
      </c>
      <c r="G167" s="125" t="str">
        <f>TEXT(VEND[[#This Row],[Fecha Recibe
O.C]],"mmmm")</f>
        <v>N/A</v>
      </c>
      <c r="H167" s="112">
        <v>20203</v>
      </c>
      <c r="I167" s="112" t="s">
        <v>33</v>
      </c>
      <c r="J167" s="112"/>
      <c r="K167" s="58">
        <v>1</v>
      </c>
      <c r="L167" s="123">
        <v>1670.74</v>
      </c>
      <c r="M167" s="61" t="s">
        <v>16</v>
      </c>
      <c r="N167" s="112">
        <v>21</v>
      </c>
      <c r="O167" s="212" t="str">
        <f>IF(VEND[[#This Row],[STATUS]]="O.C",(VEND[[#This Row],[Fecha Recibe
O.C]]+VEND[[#This Row],[Dias
entrega ]]),"")</f>
        <v/>
      </c>
      <c r="P167" s="212"/>
      <c r="Q167" s="58" t="str">
        <f>IFERROR(VEND[[#This Row],[Fecha de Despacho]]-VEND[[#This Row],[Fecha Estimada de Entrega a  Cliente]],"")</f>
        <v/>
      </c>
      <c r="R1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7" s="112" t="str">
        <f>IF(VEND[[#This Row],[STATUS]]="O.C","APROBADO",IF(VEND[[#This Row],[STATUS]]="PERDIDO","PERDIDO",IF(VEND[[#This Row],[STATUS]]="EN ESPERA","EN ESPERA")))</f>
        <v>PERDIDO</v>
      </c>
      <c r="T167" s="112" t="str">
        <f>IF(VEND[[#This Row],[STATUS]]="O.C","APROBADO",IF(VEND[[#This Row],[STATUS]]="PERDIDO","PERDIDO",IF(VEND[[#This Row],[STATUS]]="EN ESPERA","EN ESPERA")))</f>
        <v>PERDIDO</v>
      </c>
      <c r="U167" s="55" t="s">
        <v>23</v>
      </c>
      <c r="V167" s="55" t="s">
        <v>23</v>
      </c>
      <c r="W167" s="59" t="s">
        <v>1402</v>
      </c>
      <c r="X167" s="112"/>
    </row>
    <row r="168" spans="2:24" ht="15.75" x14ac:dyDescent="0.25">
      <c r="B168" s="65">
        <v>44280</v>
      </c>
      <c r="C168" s="71" t="str">
        <f>TEXT(VEND[[#This Row],[Fecha de Envío
Cotización]],"mmmm")</f>
        <v>marzo</v>
      </c>
      <c r="D168" s="112" t="s">
        <v>50</v>
      </c>
      <c r="E168" s="125" t="s">
        <v>42</v>
      </c>
      <c r="F168" s="125" t="str">
        <f>IF(VEND[[#This Row],[STATUS]]="PERDIDO","N/A","En espera")</f>
        <v>N/A</v>
      </c>
      <c r="G168" s="125" t="str">
        <f>TEXT(VEND[[#This Row],[Fecha Recibe
O.C]],"mmmm")</f>
        <v>N/A</v>
      </c>
      <c r="H168" s="112">
        <v>20203</v>
      </c>
      <c r="I168" s="55" t="s">
        <v>97</v>
      </c>
      <c r="J168" s="55"/>
      <c r="K168" s="58">
        <v>2</v>
      </c>
      <c r="L168" s="123">
        <v>290.68</v>
      </c>
      <c r="M168" s="61" t="s">
        <v>16</v>
      </c>
      <c r="N168" s="112">
        <v>21</v>
      </c>
      <c r="O168" s="212" t="str">
        <f>IF(VEND[[#This Row],[STATUS]]="O.C",(VEND[[#This Row],[Fecha Recibe
O.C]]+VEND[[#This Row],[Dias
entrega ]]),"")</f>
        <v/>
      </c>
      <c r="P168" s="212"/>
      <c r="Q168" s="58" t="str">
        <f>IFERROR(VEND[[#This Row],[Fecha de Despacho]]-VEND[[#This Row],[Fecha Estimada de Entrega a  Cliente]],"")</f>
        <v/>
      </c>
      <c r="R1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8" s="55" t="str">
        <f>IF(VEND[[#This Row],[STATUS]]="O.C","APROBADO",IF(VEND[[#This Row],[STATUS]]="PERDIDO","PERDIDO",IF(VEND[[#This Row],[STATUS]]="EN ESPERA","EN ESPERA")))</f>
        <v>PERDIDO</v>
      </c>
      <c r="T168" s="55" t="str">
        <f>IF(VEND[[#This Row],[STATUS]]="O.C","APROBADO",IF(VEND[[#This Row],[STATUS]]="PERDIDO","PERDIDO",IF(VEND[[#This Row],[STATUS]]="EN ESPERA","EN ESPERA")))</f>
        <v>PERDIDO</v>
      </c>
      <c r="U168" s="55" t="s">
        <v>23</v>
      </c>
      <c r="V168" s="55" t="s">
        <v>23</v>
      </c>
      <c r="W168" s="55" t="s">
        <v>1401</v>
      </c>
      <c r="X168" s="55" t="s">
        <v>43</v>
      </c>
    </row>
    <row r="169" spans="2:24" ht="15.75" x14ac:dyDescent="0.25">
      <c r="B169" s="71">
        <v>44280</v>
      </c>
      <c r="C169" s="71" t="str">
        <f>TEXT(VEND[[#This Row],[Fecha de Envío
Cotización]],"mmmm")</f>
        <v>marzo</v>
      </c>
      <c r="D169" s="71" t="s">
        <v>41</v>
      </c>
      <c r="E169" s="125" t="s">
        <v>42</v>
      </c>
      <c r="F169" s="125" t="str">
        <f>IF(VEND[[#This Row],[STATUS]]="PERDIDO","N/A","En espera")</f>
        <v>N/A</v>
      </c>
      <c r="G169" s="125" t="str">
        <f>TEXT(VEND[[#This Row],[Fecha Recibe
O.C]],"mmmm")</f>
        <v>N/A</v>
      </c>
      <c r="H169" s="112">
        <v>262916</v>
      </c>
      <c r="I169" s="55" t="s">
        <v>76</v>
      </c>
      <c r="J169" s="112"/>
      <c r="K169" s="58">
        <v>1</v>
      </c>
      <c r="L169" s="123">
        <v>3507.5</v>
      </c>
      <c r="M169" s="55" t="s">
        <v>73</v>
      </c>
      <c r="N169" s="112">
        <v>14</v>
      </c>
      <c r="O169" s="212" t="str">
        <f>IF(VEND[[#This Row],[STATUS]]="O.C",(VEND[[#This Row],[Fecha Recibe
O.C]]+VEND[[#This Row],[Dias
entrega ]]),"")</f>
        <v/>
      </c>
      <c r="P169" s="212"/>
      <c r="Q169" s="58" t="str">
        <f>IFERROR(VEND[[#This Row],[Fecha de Despacho]]-VEND[[#This Row],[Fecha Estimada de Entrega a  Cliente]],"")</f>
        <v/>
      </c>
      <c r="R1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69" s="112" t="str">
        <f>IF(VEND[[#This Row],[STATUS]]="O.C","APROBADO",IF(VEND[[#This Row],[STATUS]]="PERDIDO","PERDIDO",IF(VEND[[#This Row],[STATUS]]="EN ESPERA","EN ESPERA")))</f>
        <v>PERDIDO</v>
      </c>
      <c r="T169" s="112" t="str">
        <f>IF(VEND[[#This Row],[STATUS]]="O.C","APROBADO",IF(VEND[[#This Row],[STATUS]]="PERDIDO","PERDIDO",IF(VEND[[#This Row],[STATUS]]="EN ESPERA","EN ESPERA")))</f>
        <v>PERDIDO</v>
      </c>
      <c r="U169" s="55" t="s">
        <v>23</v>
      </c>
      <c r="V169" s="55" t="s">
        <v>23</v>
      </c>
      <c r="W169" s="55" t="s">
        <v>1402</v>
      </c>
      <c r="X169" s="112" t="s">
        <v>1700</v>
      </c>
    </row>
    <row r="170" spans="2:24" ht="15.75" x14ac:dyDescent="0.25">
      <c r="B170" s="232">
        <v>44280</v>
      </c>
      <c r="C170" s="71" t="str">
        <f>TEXT(VEND[[#This Row],[Fecha de Envío
Cotización]],"mmmm")</f>
        <v>marzo</v>
      </c>
      <c r="D170" s="66" t="s">
        <v>1163</v>
      </c>
      <c r="E170" s="125" t="s">
        <v>83</v>
      </c>
      <c r="F170" s="93">
        <v>44291</v>
      </c>
      <c r="G170" s="93" t="str">
        <f>TEXT(VEND[[#This Row],[Fecha Recibe
O.C]],"mmmm")</f>
        <v>abril</v>
      </c>
      <c r="H170" s="112" t="s">
        <v>1211</v>
      </c>
      <c r="I170" s="55" t="s">
        <v>1242</v>
      </c>
      <c r="J170" s="55"/>
      <c r="K170" s="58">
        <v>1</v>
      </c>
      <c r="L170" s="123">
        <v>510</v>
      </c>
      <c r="M170" s="55"/>
      <c r="N170" s="112"/>
      <c r="O170" s="212">
        <f>IF(VEND[[#This Row],[STATUS]]="O.C",(VEND[[#This Row],[Fecha Recibe
O.C]]+VEND[[#This Row],[Dias
entrega ]]),"")</f>
        <v>44291</v>
      </c>
      <c r="P170" s="212"/>
      <c r="Q170" s="58">
        <f>IFERROR(VEND[[#This Row],[Fecha de Despacho]]-VEND[[#This Row],[Fecha Estimada de Entrega a  Cliente]],"")</f>
        <v>-44291</v>
      </c>
      <c r="R1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0" s="55" t="str">
        <f>IF(VEND[[#This Row],[STATUS]]="O.C","APROBADO",IF(VEND[[#This Row],[STATUS]]="PERDIDO","PERDIDO",IF(VEND[[#This Row],[STATUS]]="EN ESPERA","EN ESPERA")))</f>
        <v>APROBADO</v>
      </c>
      <c r="T170" s="55" t="str">
        <f>IF(VEND[[#This Row],[STATUS]]="O.C","APROBADO",IF(VEND[[#This Row],[STATUS]]="PERDIDO","PERDIDO",IF(VEND[[#This Row],[STATUS]]="EN ESPERA","EN ESPERA")))</f>
        <v>APROBADO</v>
      </c>
      <c r="U170" s="55" t="s">
        <v>46</v>
      </c>
      <c r="V170" s="55" t="s">
        <v>46</v>
      </c>
      <c r="W170" s="55" t="s">
        <v>1401</v>
      </c>
      <c r="X170" s="55" t="s">
        <v>2420</v>
      </c>
    </row>
    <row r="171" spans="2:24" ht="15.75" x14ac:dyDescent="0.25">
      <c r="B171" s="65">
        <v>44280</v>
      </c>
      <c r="C171" s="71" t="str">
        <f>TEXT(VEND[[#This Row],[Fecha de Envío
Cotización]],"mmmm")</f>
        <v>marzo</v>
      </c>
      <c r="D171" s="66" t="s">
        <v>1163</v>
      </c>
      <c r="E171" s="125" t="s">
        <v>42</v>
      </c>
      <c r="F171" s="115" t="str">
        <f>IF(VEND[[#This Row],[STATUS]]="PERDIDO","N/A","En espera")</f>
        <v>N/A</v>
      </c>
      <c r="G171" s="125" t="str">
        <f>TEXT(VEND[[#This Row],[Fecha Recibe
O.C]],"mmmm")</f>
        <v>N/A</v>
      </c>
      <c r="H171" s="112" t="s">
        <v>1212</v>
      </c>
      <c r="I171" s="55" t="s">
        <v>1242</v>
      </c>
      <c r="J171" s="55"/>
      <c r="K171" s="58">
        <v>1</v>
      </c>
      <c r="L171" s="123">
        <v>2920</v>
      </c>
      <c r="M171" s="55"/>
      <c r="N171" s="112"/>
      <c r="O171" s="212" t="str">
        <f>IF(VEND[[#This Row],[STATUS]]="O.C",(VEND[[#This Row],[Fecha Recibe
O.C]]+VEND[[#This Row],[Dias
entrega ]]),"")</f>
        <v/>
      </c>
      <c r="P171" s="212"/>
      <c r="Q171" s="58" t="str">
        <f>IFERROR(VEND[[#This Row],[Fecha de Despacho]]-VEND[[#This Row],[Fecha Estimada de Entrega a  Cliente]],"")</f>
        <v/>
      </c>
      <c r="R1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1" s="55" t="str">
        <f>IF(VEND[[#This Row],[STATUS]]="O.C","APROBADO",IF(VEND[[#This Row],[STATUS]]="PERDIDO","PERDIDO",IF(VEND[[#This Row],[STATUS]]="EN ESPERA","EN ESPERA")))</f>
        <v>PERDIDO</v>
      </c>
      <c r="T171" s="55" t="str">
        <f>IF(VEND[[#This Row],[STATUS]]="O.C","APROBADO",IF(VEND[[#This Row],[STATUS]]="PERDIDO","PERDIDO",IF(VEND[[#This Row],[STATUS]]="EN ESPERA","EN ESPERA")))</f>
        <v>PERDIDO</v>
      </c>
      <c r="U171" s="55" t="s">
        <v>23</v>
      </c>
      <c r="V171" s="55" t="s">
        <v>23</v>
      </c>
      <c r="W171" s="55" t="s">
        <v>1401</v>
      </c>
      <c r="X171" s="55"/>
    </row>
    <row r="172" spans="2:24" ht="15.75" x14ac:dyDescent="0.25">
      <c r="B172" s="65">
        <v>44280</v>
      </c>
      <c r="C172" s="71" t="str">
        <f>TEXT(VEND[[#This Row],[Fecha de Envío
Cotización]],"mmmm")</f>
        <v>marzo</v>
      </c>
      <c r="D172" s="66" t="s">
        <v>1163</v>
      </c>
      <c r="E172" s="125" t="s">
        <v>42</v>
      </c>
      <c r="F172" s="92" t="str">
        <f>IF(VEND[[#This Row],[STATUS]]="PERDIDO","N/A","En espera")</f>
        <v>N/A</v>
      </c>
      <c r="G172" s="125" t="str">
        <f>TEXT(VEND[[#This Row],[Fecha Recibe
O.C]],"mmmm")</f>
        <v>N/A</v>
      </c>
      <c r="H172" s="112" t="s">
        <v>1214</v>
      </c>
      <c r="I172" s="55" t="s">
        <v>1242</v>
      </c>
      <c r="J172" s="55"/>
      <c r="K172" s="58">
        <v>1</v>
      </c>
      <c r="L172" s="123">
        <v>33928</v>
      </c>
      <c r="M172" s="55"/>
      <c r="N172" s="112"/>
      <c r="O172" s="212" t="str">
        <f>IF(VEND[[#This Row],[STATUS]]="O.C",(VEND[[#This Row],[Fecha Recibe
O.C]]+VEND[[#This Row],[Dias
entrega ]]),"")</f>
        <v/>
      </c>
      <c r="P172" s="212"/>
      <c r="Q172" s="58" t="str">
        <f>IFERROR(VEND[[#This Row],[Fecha de Despacho]]-VEND[[#This Row],[Fecha Estimada de Entrega a  Cliente]],"")</f>
        <v/>
      </c>
      <c r="R1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2" s="55" t="str">
        <f>IF(VEND[[#This Row],[STATUS]]="O.C","APROBADO",IF(VEND[[#This Row],[STATUS]]="PERDIDO","PERDIDO",IF(VEND[[#This Row],[STATUS]]="EN ESPERA","EN ESPERA")))</f>
        <v>PERDIDO</v>
      </c>
      <c r="T172" s="55" t="str">
        <f>IF(VEND[[#This Row],[STATUS]]="O.C","APROBADO",IF(VEND[[#This Row],[STATUS]]="PERDIDO","PERDIDO",IF(VEND[[#This Row],[STATUS]]="EN ESPERA","EN ESPERA")))</f>
        <v>PERDIDO</v>
      </c>
      <c r="U172" s="55" t="s">
        <v>23</v>
      </c>
      <c r="V172" s="55" t="s">
        <v>23</v>
      </c>
      <c r="W172" s="55" t="s">
        <v>1401</v>
      </c>
      <c r="X172" s="55"/>
    </row>
    <row r="173" spans="2:24" ht="15.75" x14ac:dyDescent="0.25">
      <c r="B173" s="71">
        <v>44280</v>
      </c>
      <c r="C173" s="71" t="str">
        <f>TEXT(VEND[[#This Row],[Fecha de Envío
Cotización]],"mmmm")</f>
        <v>marzo</v>
      </c>
      <c r="D173" s="66" t="s">
        <v>1163</v>
      </c>
      <c r="E173" s="125" t="s">
        <v>42</v>
      </c>
      <c r="F173" s="125" t="str">
        <f>IF(VEND[[#This Row],[STATUS]]="PERDIDO","N/A","En espera")</f>
        <v>N/A</v>
      </c>
      <c r="G173" s="125" t="str">
        <f>TEXT(VEND[[#This Row],[Fecha Recibe
O.C]],"mmmm")</f>
        <v>N/A</v>
      </c>
      <c r="H173" s="112" t="s">
        <v>1213</v>
      </c>
      <c r="I173" s="55" t="s">
        <v>1242</v>
      </c>
      <c r="J173" s="112"/>
      <c r="K173" s="58">
        <v>1</v>
      </c>
      <c r="L173" s="123">
        <v>34280</v>
      </c>
      <c r="M173" s="55"/>
      <c r="N173" s="112"/>
      <c r="O173" s="212" t="str">
        <f>IF(VEND[[#This Row],[STATUS]]="O.C",(VEND[[#This Row],[Fecha Recibe
O.C]]+VEND[[#This Row],[Dias
entrega ]]),"")</f>
        <v/>
      </c>
      <c r="P173" s="212"/>
      <c r="Q173" s="58" t="str">
        <f>IFERROR(VEND[[#This Row],[Fecha de Despacho]]-VEND[[#This Row],[Fecha Estimada de Entrega a  Cliente]],"")</f>
        <v/>
      </c>
      <c r="R1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3" s="112" t="str">
        <f>IF(VEND[[#This Row],[STATUS]]="O.C","APROBADO",IF(VEND[[#This Row],[STATUS]]="PERDIDO","PERDIDO",IF(VEND[[#This Row],[STATUS]]="EN ESPERA","EN ESPERA")))</f>
        <v>PERDIDO</v>
      </c>
      <c r="T173" s="112" t="str">
        <f>IF(VEND[[#This Row],[STATUS]]="O.C","APROBADO",IF(VEND[[#This Row],[STATUS]]="PERDIDO","PERDIDO",IF(VEND[[#This Row],[STATUS]]="EN ESPERA","EN ESPERA")))</f>
        <v>PERDIDO</v>
      </c>
      <c r="U173" s="55" t="s">
        <v>23</v>
      </c>
      <c r="V173" s="55" t="s">
        <v>23</v>
      </c>
      <c r="W173" s="55" t="s">
        <v>1401</v>
      </c>
      <c r="X173" s="55"/>
    </row>
    <row r="174" spans="2:24" ht="15.75" x14ac:dyDescent="0.25">
      <c r="B174" s="71">
        <v>44280</v>
      </c>
      <c r="C174" s="71" t="str">
        <f>TEXT(VEND[[#This Row],[Fecha de Envío
Cotización]],"mmmm")</f>
        <v>marzo</v>
      </c>
      <c r="D174" s="66" t="s">
        <v>1163</v>
      </c>
      <c r="E174" s="125" t="s">
        <v>42</v>
      </c>
      <c r="F174" s="125" t="str">
        <f>IF(VEND[[#This Row],[STATUS]]="PERDIDO","N/A","En espera")</f>
        <v>N/A</v>
      </c>
      <c r="G174" s="125" t="str">
        <f>TEXT(VEND[[#This Row],[Fecha Recibe
O.C]],"mmmm")</f>
        <v>N/A</v>
      </c>
      <c r="H174" s="112" t="s">
        <v>1217</v>
      </c>
      <c r="I174" s="55" t="s">
        <v>1241</v>
      </c>
      <c r="J174" s="55"/>
      <c r="K174" s="58">
        <v>1</v>
      </c>
      <c r="L174" s="123">
        <v>9945</v>
      </c>
      <c r="M174" s="55"/>
      <c r="N174" s="112"/>
      <c r="O174" s="212" t="str">
        <f>IF(VEND[[#This Row],[STATUS]]="O.C",(VEND[[#This Row],[Fecha Recibe
O.C]]+VEND[[#This Row],[Dias
entrega ]]),"")</f>
        <v/>
      </c>
      <c r="P174" s="212"/>
      <c r="Q174" s="58" t="str">
        <f>IFERROR(VEND[[#This Row],[Fecha de Despacho]]-VEND[[#This Row],[Fecha Estimada de Entrega a  Cliente]],"")</f>
        <v/>
      </c>
      <c r="R1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4" s="55" t="str">
        <f>IF(VEND[[#This Row],[STATUS]]="O.C","APROBADO",IF(VEND[[#This Row],[STATUS]]="PERDIDO","PERDIDO",IF(VEND[[#This Row],[STATUS]]="EN ESPERA","EN ESPERA")))</f>
        <v>PERDIDO</v>
      </c>
      <c r="T174" s="55" t="str">
        <f>IF(VEND[[#This Row],[STATUS]]="O.C","APROBADO",IF(VEND[[#This Row],[STATUS]]="PERDIDO","PERDIDO",IF(VEND[[#This Row],[STATUS]]="EN ESPERA","EN ESPERA")))</f>
        <v>PERDIDO</v>
      </c>
      <c r="U174" s="55" t="s">
        <v>23</v>
      </c>
      <c r="V174" s="55" t="s">
        <v>23</v>
      </c>
      <c r="W174" s="55" t="s">
        <v>1409</v>
      </c>
      <c r="X174" s="112"/>
    </row>
    <row r="175" spans="2:24" ht="31.5" x14ac:dyDescent="0.25">
      <c r="B175" s="232">
        <v>44280</v>
      </c>
      <c r="C175" s="71" t="str">
        <f>TEXT(VEND[[#This Row],[Fecha de Envío
Cotización]],"mmmm")</f>
        <v>marzo</v>
      </c>
      <c r="D175" s="66" t="s">
        <v>1163</v>
      </c>
      <c r="E175" s="125" t="s">
        <v>83</v>
      </c>
      <c r="F175" s="93">
        <v>44302</v>
      </c>
      <c r="G175" s="93" t="str">
        <f>TEXT(VEND[[#This Row],[Fecha Recibe
O.C]],"mmmm")</f>
        <v>abril</v>
      </c>
      <c r="H175" s="112" t="s">
        <v>1216</v>
      </c>
      <c r="I175" s="55" t="s">
        <v>1241</v>
      </c>
      <c r="J175" s="55"/>
      <c r="K175" s="58">
        <v>3</v>
      </c>
      <c r="L175" s="123">
        <v>56272</v>
      </c>
      <c r="M175" s="55" t="s">
        <v>2428</v>
      </c>
      <c r="N175" s="112">
        <v>56</v>
      </c>
      <c r="O175" s="212">
        <f>IF(VEND[[#This Row],[STATUS]]="O.C",(VEND[[#This Row],[Fecha Recibe
O.C]]+VEND[[#This Row],[Dias
entrega ]]),"")</f>
        <v>44358</v>
      </c>
      <c r="P175" s="212"/>
      <c r="Q175" s="58">
        <f>IFERROR(VEND[[#This Row],[Fecha de Despacho]]-VEND[[#This Row],[Fecha Estimada de Entrega a  Cliente]],"")</f>
        <v>-44358</v>
      </c>
      <c r="R1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5" s="55" t="str">
        <f>IF(VEND[[#This Row],[STATUS]]="O.C","APROBADO",IF(VEND[[#This Row],[STATUS]]="PERDIDO","PERDIDO",IF(VEND[[#This Row],[STATUS]]="EN ESPERA","EN ESPERA")))</f>
        <v>APROBADO</v>
      </c>
      <c r="T175" s="55" t="str">
        <f>IF(VEND[[#This Row],[STATUS]]="O.C","APROBADO",IF(VEND[[#This Row],[STATUS]]="PERDIDO","PERDIDO",IF(VEND[[#This Row],[STATUS]]="EN ESPERA","EN ESPERA")))</f>
        <v>APROBADO</v>
      </c>
      <c r="U175" s="55" t="s">
        <v>46</v>
      </c>
      <c r="V175" s="55" t="s">
        <v>46</v>
      </c>
      <c r="W175" s="55" t="s">
        <v>1409</v>
      </c>
      <c r="X175" s="59" t="s">
        <v>2427</v>
      </c>
    </row>
    <row r="176" spans="2:24" ht="15.75" x14ac:dyDescent="0.25">
      <c r="B176" s="232">
        <v>44280</v>
      </c>
      <c r="C176" s="71" t="str">
        <f>TEXT(VEND[[#This Row],[Fecha de Envío
Cotización]],"mmmm")</f>
        <v>marzo</v>
      </c>
      <c r="D176" s="66" t="s">
        <v>1163</v>
      </c>
      <c r="E176" s="125" t="s">
        <v>83</v>
      </c>
      <c r="F176" s="93">
        <v>44302</v>
      </c>
      <c r="G176" s="93" t="str">
        <f>TEXT(VEND[[#This Row],[Fecha Recibe
O.C]],"mmmm")</f>
        <v>abril</v>
      </c>
      <c r="H176" s="112" t="s">
        <v>1215</v>
      </c>
      <c r="I176" s="55" t="s">
        <v>1241</v>
      </c>
      <c r="J176" s="112"/>
      <c r="K176" s="58">
        <v>1</v>
      </c>
      <c r="L176" s="123">
        <v>3439.1</v>
      </c>
      <c r="M176" s="55"/>
      <c r="N176" s="112"/>
      <c r="O176" s="212">
        <f>IF(VEND[[#This Row],[STATUS]]="O.C",(VEND[[#This Row],[Fecha Recibe
O.C]]+VEND[[#This Row],[Dias
entrega ]]),"")</f>
        <v>44302</v>
      </c>
      <c r="P176" s="212"/>
      <c r="Q176" s="58">
        <f>IFERROR(VEND[[#This Row],[Fecha de Despacho]]-VEND[[#This Row],[Fecha Estimada de Entrega a  Cliente]],"")</f>
        <v>-44302</v>
      </c>
      <c r="R1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6" s="55" t="str">
        <f>IF(VEND[[#This Row],[STATUS]]="O.C","APROBADO",IF(VEND[[#This Row],[STATUS]]="PERDIDO","PERDIDO",IF(VEND[[#This Row],[STATUS]]="EN ESPERA","EN ESPERA")))</f>
        <v>APROBADO</v>
      </c>
      <c r="T176" s="55" t="str">
        <f>IF(VEND[[#This Row],[STATUS]]="O.C","APROBADO",IF(VEND[[#This Row],[STATUS]]="PERDIDO","PERDIDO",IF(VEND[[#This Row],[STATUS]]="EN ESPERA","EN ESPERA")))</f>
        <v>APROBADO</v>
      </c>
      <c r="U176" s="55" t="s">
        <v>46</v>
      </c>
      <c r="V176" s="55" t="s">
        <v>46</v>
      </c>
      <c r="W176" s="112" t="s">
        <v>1409</v>
      </c>
      <c r="X176" s="112" t="s">
        <v>2426</v>
      </c>
    </row>
    <row r="177" spans="2:24" ht="15.75" x14ac:dyDescent="0.25">
      <c r="B177" s="65">
        <v>44281</v>
      </c>
      <c r="C177" s="71" t="str">
        <f>TEXT(VEND[[#This Row],[Fecha de Envío
Cotización]],"mmmm")</f>
        <v>marzo</v>
      </c>
      <c r="D177" s="112" t="s">
        <v>50</v>
      </c>
      <c r="E177" s="125" t="s">
        <v>42</v>
      </c>
      <c r="F177" s="125" t="str">
        <f>IF(VEND[[#This Row],[STATUS]]="PERDIDO","N/A","En espera")</f>
        <v>N/A</v>
      </c>
      <c r="G177" s="125" t="str">
        <f>TEXT(VEND[[#This Row],[Fecha Recibe
O.C]],"mmmm")</f>
        <v>N/A</v>
      </c>
      <c r="H177" s="112">
        <v>20225</v>
      </c>
      <c r="I177" s="112" t="s">
        <v>33</v>
      </c>
      <c r="J177" s="55"/>
      <c r="K177" s="58">
        <v>1</v>
      </c>
      <c r="L177" s="123">
        <v>478.5</v>
      </c>
      <c r="M177" s="55" t="s">
        <v>22</v>
      </c>
      <c r="N177" s="112">
        <v>0</v>
      </c>
      <c r="O177" s="212" t="str">
        <f>IF(VEND[[#This Row],[STATUS]]="O.C",(VEND[[#This Row],[Fecha Recibe
O.C]]+VEND[[#This Row],[Dias
entrega ]]),"")</f>
        <v/>
      </c>
      <c r="P177" s="212"/>
      <c r="Q177" s="58" t="str">
        <f>IFERROR(VEND[[#This Row],[Fecha de Despacho]]-VEND[[#This Row],[Fecha Estimada de Entrega a  Cliente]],"")</f>
        <v/>
      </c>
      <c r="R1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7" s="55" t="str">
        <f>IF(VEND[[#This Row],[STATUS]]="O.C","APROBADO",IF(VEND[[#This Row],[STATUS]]="PERDIDO","PERDIDO",IF(VEND[[#This Row],[STATUS]]="EN ESPERA","EN ESPERA")))</f>
        <v>PERDIDO</v>
      </c>
      <c r="T177" s="55" t="str">
        <f>IF(VEND[[#This Row],[STATUS]]="O.C","APROBADO",IF(VEND[[#This Row],[STATUS]]="PERDIDO","PERDIDO",IF(VEND[[#This Row],[STATUS]]="EN ESPERA","EN ESPERA")))</f>
        <v>PERDIDO</v>
      </c>
      <c r="U177" s="55" t="s">
        <v>23</v>
      </c>
      <c r="V177" s="55" t="s">
        <v>23</v>
      </c>
      <c r="W177" s="59" t="s">
        <v>1402</v>
      </c>
      <c r="X177" s="55"/>
    </row>
    <row r="178" spans="2:24" ht="15.75" x14ac:dyDescent="0.25">
      <c r="B178" s="71">
        <v>44281</v>
      </c>
      <c r="C178" s="71" t="str">
        <f>TEXT(VEND[[#This Row],[Fecha de Envío
Cotización]],"mmmm")</f>
        <v>marzo</v>
      </c>
      <c r="D178" s="112" t="s">
        <v>68</v>
      </c>
      <c r="E178" s="125" t="s">
        <v>42</v>
      </c>
      <c r="F178" s="125" t="str">
        <f>IF(VEND[[#This Row],[STATUS]]="PERDIDO","N/A","En espera")</f>
        <v>N/A</v>
      </c>
      <c r="G178" s="125" t="str">
        <f>TEXT(VEND[[#This Row],[Fecha Recibe
O.C]],"mmmm")</f>
        <v>N/A</v>
      </c>
      <c r="H178" s="112">
        <v>20717</v>
      </c>
      <c r="I178" s="55" t="s">
        <v>96</v>
      </c>
      <c r="J178" s="112"/>
      <c r="K178" s="58">
        <v>7</v>
      </c>
      <c r="L178" s="123">
        <v>2495.12</v>
      </c>
      <c r="M178" s="112" t="s">
        <v>22</v>
      </c>
      <c r="N178" s="112">
        <v>0</v>
      </c>
      <c r="O178" s="212" t="str">
        <f>IF(VEND[[#This Row],[STATUS]]="O.C",(VEND[[#This Row],[Fecha Recibe
O.C]]+VEND[[#This Row],[Dias
entrega ]]),"")</f>
        <v/>
      </c>
      <c r="P178" s="212"/>
      <c r="Q178" s="58" t="str">
        <f>IFERROR(VEND[[#This Row],[Fecha de Despacho]]-VEND[[#This Row],[Fecha Estimada de Entrega a  Cliente]],"")</f>
        <v/>
      </c>
      <c r="R1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8" s="112" t="str">
        <f>IF(VEND[[#This Row],[STATUS]]="O.C","APROBADO",IF(VEND[[#This Row],[STATUS]]="PERDIDO","PERDIDO",IF(VEND[[#This Row],[STATUS]]="EN ESPERA","EN ESPERA")))</f>
        <v>PERDIDO</v>
      </c>
      <c r="T178" s="112" t="str">
        <f>IF(VEND[[#This Row],[STATUS]]="O.C","APROBADO",IF(VEND[[#This Row],[STATUS]]="PERDIDO","PERDIDO",IF(VEND[[#This Row],[STATUS]]="EN ESPERA","EN ESPERA")))</f>
        <v>PERDIDO</v>
      </c>
      <c r="U178" s="55" t="s">
        <v>23</v>
      </c>
      <c r="V178" s="55" t="s">
        <v>23</v>
      </c>
      <c r="W178" s="55" t="s">
        <v>1402</v>
      </c>
      <c r="X178" s="112"/>
    </row>
    <row r="179" spans="2:24" ht="15.75" x14ac:dyDescent="0.25">
      <c r="B179" s="71">
        <v>44281</v>
      </c>
      <c r="C179" s="71" t="str">
        <f>TEXT(VEND[[#This Row],[Fecha de Envío
Cotización]],"mmmm")</f>
        <v>marzo</v>
      </c>
      <c r="D179" s="112" t="s">
        <v>944</v>
      </c>
      <c r="E179" s="125" t="s">
        <v>42</v>
      </c>
      <c r="F179" s="125" t="str">
        <f>IF(VEND[[#This Row],[STATUS]]="PERDIDO","N/A","En espera")</f>
        <v>N/A</v>
      </c>
      <c r="G179" s="125" t="str">
        <f>TEXT(VEND[[#This Row],[Fecha Recibe
O.C]],"mmmm")</f>
        <v>N/A</v>
      </c>
      <c r="H179" s="112">
        <v>28655</v>
      </c>
      <c r="I179" s="55" t="s">
        <v>76</v>
      </c>
      <c r="J179" s="112"/>
      <c r="K179" s="58">
        <v>1</v>
      </c>
      <c r="L179" s="123">
        <v>908.48</v>
      </c>
      <c r="M179" s="112" t="s">
        <v>73</v>
      </c>
      <c r="N179" s="112">
        <v>14</v>
      </c>
      <c r="O179" s="212" t="str">
        <f>IF(VEND[[#This Row],[STATUS]]="O.C",(VEND[[#This Row],[Fecha Recibe
O.C]]+VEND[[#This Row],[Dias
entrega ]]),"")</f>
        <v/>
      </c>
      <c r="P179" s="212"/>
      <c r="Q179" s="58" t="str">
        <f>IFERROR(VEND[[#This Row],[Fecha de Despacho]]-VEND[[#This Row],[Fecha Estimada de Entrega a  Cliente]],"")</f>
        <v/>
      </c>
      <c r="R1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79" s="112" t="str">
        <f>IF(VEND[[#This Row],[STATUS]]="O.C","APROBADO",IF(VEND[[#This Row],[STATUS]]="PERDIDO","PERDIDO",IF(VEND[[#This Row],[STATUS]]="EN ESPERA","EN ESPERA")))</f>
        <v>PERDIDO</v>
      </c>
      <c r="T179" s="112" t="str">
        <f>IF(VEND[[#This Row],[STATUS]]="O.C","APROBADO",IF(VEND[[#This Row],[STATUS]]="PERDIDO","PERDIDO",IF(VEND[[#This Row],[STATUS]]="EN ESPERA","EN ESPERA")))</f>
        <v>PERDIDO</v>
      </c>
      <c r="U179" s="112" t="s">
        <v>23</v>
      </c>
      <c r="V179" s="112" t="s">
        <v>23</v>
      </c>
      <c r="W179" s="112" t="s">
        <v>1407</v>
      </c>
      <c r="X179" s="112"/>
    </row>
    <row r="180" spans="2:24" ht="15.75" x14ac:dyDescent="0.25">
      <c r="B180" s="71">
        <v>44281</v>
      </c>
      <c r="C180" s="71" t="str">
        <f>TEXT(VEND[[#This Row],[Fecha de Envío
Cotización]],"mmmm")</f>
        <v>marzo</v>
      </c>
      <c r="D180" s="112" t="s">
        <v>944</v>
      </c>
      <c r="E180" s="125" t="s">
        <v>42</v>
      </c>
      <c r="F180" s="125" t="str">
        <f>IF(VEND[[#This Row],[STATUS]]="PERDIDO","N/A","En espera")</f>
        <v>N/A</v>
      </c>
      <c r="G180" s="125" t="str">
        <f>TEXT(VEND[[#This Row],[Fecha Recibe
O.C]],"mmmm")</f>
        <v>N/A</v>
      </c>
      <c r="H180" s="112">
        <v>29655</v>
      </c>
      <c r="I180" s="112" t="s">
        <v>76</v>
      </c>
      <c r="J180" s="112"/>
      <c r="K180" s="58">
        <v>1</v>
      </c>
      <c r="L180" s="123">
        <v>2257.1999999999998</v>
      </c>
      <c r="M180" s="112" t="s">
        <v>73</v>
      </c>
      <c r="N180" s="112">
        <v>14</v>
      </c>
      <c r="O180" s="212" t="str">
        <f>IF(VEND[[#This Row],[STATUS]]="O.C",(VEND[[#This Row],[Fecha Recibe
O.C]]+VEND[[#This Row],[Dias
entrega ]]),"")</f>
        <v/>
      </c>
      <c r="P180" s="212"/>
      <c r="Q180" s="58" t="str">
        <f>IFERROR(VEND[[#This Row],[Fecha de Despacho]]-VEND[[#This Row],[Fecha Estimada de Entrega a  Cliente]],"")</f>
        <v/>
      </c>
      <c r="R1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0" s="112" t="str">
        <f>IF(VEND[[#This Row],[STATUS]]="O.C","APROBADO",IF(VEND[[#This Row],[STATUS]]="PERDIDO","PERDIDO",IF(VEND[[#This Row],[STATUS]]="EN ESPERA","EN ESPERA")))</f>
        <v>PERDIDO</v>
      </c>
      <c r="T180" s="112" t="str">
        <f>IF(VEND[[#This Row],[STATUS]]="O.C","APROBADO",IF(VEND[[#This Row],[STATUS]]="PERDIDO","PERDIDO",IF(VEND[[#This Row],[STATUS]]="EN ESPERA","EN ESPERA")))</f>
        <v>PERDIDO</v>
      </c>
      <c r="U180" s="55" t="s">
        <v>23</v>
      </c>
      <c r="V180" s="55" t="s">
        <v>23</v>
      </c>
      <c r="W180" s="112" t="s">
        <v>1402</v>
      </c>
      <c r="X180" s="112"/>
    </row>
    <row r="181" spans="2:24" ht="15.75" x14ac:dyDescent="0.25">
      <c r="B181" s="71">
        <v>44281</v>
      </c>
      <c r="C181" s="71" t="str">
        <f>TEXT(VEND[[#This Row],[Fecha de Envío
Cotización]],"mmmm")</f>
        <v>marzo</v>
      </c>
      <c r="D181" s="66" t="s">
        <v>945</v>
      </c>
      <c r="E181" s="125" t="s">
        <v>42</v>
      </c>
      <c r="F181" s="125" t="str">
        <f>IF(VEND[[#This Row],[STATUS]]="PERDIDO","N/A","En espera")</f>
        <v>N/A</v>
      </c>
      <c r="G181" s="125" t="str">
        <f>TEXT(VEND[[#This Row],[Fecha Recibe
O.C]],"mmmm")</f>
        <v>N/A</v>
      </c>
      <c r="H181" s="112">
        <v>29656</v>
      </c>
      <c r="I181" s="112" t="s">
        <v>130</v>
      </c>
      <c r="J181" s="112"/>
      <c r="K181" s="58">
        <v>1</v>
      </c>
      <c r="L181" s="123">
        <v>5875</v>
      </c>
      <c r="M181" s="112" t="s">
        <v>36</v>
      </c>
      <c r="N181" s="112">
        <v>28</v>
      </c>
      <c r="O181" s="212" t="str">
        <f>IF(VEND[[#This Row],[STATUS]]="O.C",(VEND[[#This Row],[Fecha Recibe
O.C]]+VEND[[#This Row],[Dias
entrega ]]),"")</f>
        <v/>
      </c>
      <c r="P181" s="212"/>
      <c r="Q181" s="58" t="str">
        <f>IFERROR(VEND[[#This Row],[Fecha de Despacho]]-VEND[[#This Row],[Fecha Estimada de Entrega a  Cliente]],"")</f>
        <v/>
      </c>
      <c r="R1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1" s="112" t="str">
        <f>IF(VEND[[#This Row],[STATUS]]="O.C","APROBADO",IF(VEND[[#This Row],[STATUS]]="PERDIDO","PERDIDO",IF(VEND[[#This Row],[STATUS]]="EN ESPERA","EN ESPERA")))</f>
        <v>PERDIDO</v>
      </c>
      <c r="T181" s="112" t="str">
        <f>IF(VEND[[#This Row],[STATUS]]="O.C","APROBADO",IF(VEND[[#This Row],[STATUS]]="PERDIDO","PERDIDO",IF(VEND[[#This Row],[STATUS]]="EN ESPERA","EN ESPERA")))</f>
        <v>PERDIDO</v>
      </c>
      <c r="U181" s="112" t="s">
        <v>23</v>
      </c>
      <c r="V181" s="112" t="s">
        <v>23</v>
      </c>
      <c r="W181" s="112" t="s">
        <v>1409</v>
      </c>
      <c r="X181" s="112"/>
    </row>
    <row r="182" spans="2:24" ht="15.75" x14ac:dyDescent="0.25">
      <c r="B182" s="71">
        <v>44284</v>
      </c>
      <c r="C182" s="71" t="str">
        <f>TEXT(VEND[[#This Row],[Fecha de Envío
Cotización]],"mmmm")</f>
        <v>marzo</v>
      </c>
      <c r="D182" s="66" t="s">
        <v>41</v>
      </c>
      <c r="E182" s="125" t="s">
        <v>42</v>
      </c>
      <c r="F182" s="125" t="str">
        <f>IF(VEND[[#This Row],[STATUS]]="PERDIDO","N/A","En espera")</f>
        <v>N/A</v>
      </c>
      <c r="G182" s="125" t="str">
        <f>TEXT(VEND[[#This Row],[Fecha Recibe
O.C]],"mmmm")</f>
        <v>N/A</v>
      </c>
      <c r="H182" s="112">
        <v>1706</v>
      </c>
      <c r="I182" s="55" t="s">
        <v>103</v>
      </c>
      <c r="J182" s="112"/>
      <c r="K182" s="58">
        <v>2</v>
      </c>
      <c r="L182" s="123">
        <v>1085</v>
      </c>
      <c r="M182" s="112" t="s">
        <v>16</v>
      </c>
      <c r="N182" s="112">
        <v>21</v>
      </c>
      <c r="O182" s="212" t="str">
        <f>IF(VEND[[#This Row],[STATUS]]="O.C",(VEND[[#This Row],[Fecha Recibe
O.C]]+VEND[[#This Row],[Dias
entrega ]]),"")</f>
        <v/>
      </c>
      <c r="P182" s="212"/>
      <c r="Q182" s="58" t="str">
        <f>IFERROR(VEND[[#This Row],[Fecha de Despacho]]-VEND[[#This Row],[Fecha Estimada de Entrega a  Cliente]],"")</f>
        <v/>
      </c>
      <c r="R1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2" s="112" t="str">
        <f>IF(VEND[[#This Row],[STATUS]]="O.C","APROBADO",IF(VEND[[#This Row],[STATUS]]="PERDIDO","PERDIDO",IF(VEND[[#This Row],[STATUS]]="EN ESPERA","EN ESPERA")))</f>
        <v>PERDIDO</v>
      </c>
      <c r="T182" s="112" t="str">
        <f>IF(VEND[[#This Row],[STATUS]]="O.C","APROBADO",IF(VEND[[#This Row],[STATUS]]="PERDIDO","PERDIDO",IF(VEND[[#This Row],[STATUS]]="EN ESPERA","EN ESPERA")))</f>
        <v>PERDIDO</v>
      </c>
      <c r="U182" s="112" t="s">
        <v>23</v>
      </c>
      <c r="V182" s="112" t="s">
        <v>23</v>
      </c>
      <c r="W182" s="112" t="s">
        <v>1401</v>
      </c>
      <c r="X182" s="112"/>
    </row>
    <row r="183" spans="2:24" ht="15.75" x14ac:dyDescent="0.25">
      <c r="B183" s="71">
        <v>44284</v>
      </c>
      <c r="C183" s="71" t="str">
        <f>TEXT(VEND[[#This Row],[Fecha de Envío
Cotización]],"mmmm")</f>
        <v>marzo</v>
      </c>
      <c r="D183" s="66" t="s">
        <v>945</v>
      </c>
      <c r="E183" s="125" t="s">
        <v>83</v>
      </c>
      <c r="F183" s="93">
        <v>44286</v>
      </c>
      <c r="G183" s="93" t="str">
        <f>TEXT(VEND[[#This Row],[Fecha Recibe
O.C]],"mmmm")</f>
        <v>marzo</v>
      </c>
      <c r="H183" s="112">
        <v>20040</v>
      </c>
      <c r="I183" s="55" t="s">
        <v>31</v>
      </c>
      <c r="J183" s="112"/>
      <c r="K183" s="58">
        <v>2</v>
      </c>
      <c r="L183" s="123">
        <v>21.25</v>
      </c>
      <c r="M183" s="112" t="s">
        <v>22</v>
      </c>
      <c r="N183" s="112">
        <v>0</v>
      </c>
      <c r="O183" s="212">
        <f>IF(VEND[[#This Row],[STATUS]]="O.C",(VEND[[#This Row],[Fecha Recibe
O.C]]+VEND[[#This Row],[Dias
entrega ]]),"")</f>
        <v>44286</v>
      </c>
      <c r="P183" s="212">
        <v>44293</v>
      </c>
      <c r="Q183" s="58">
        <f>IFERROR(VEND[[#This Row],[Fecha de Despacho]]-VEND[[#This Row],[Fecha Estimada de Entrega a  Cliente]],"")</f>
        <v>7</v>
      </c>
      <c r="R1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83" s="112" t="str">
        <f>IF(VEND[[#This Row],[STATUS]]="O.C","APROBADO",IF(VEND[[#This Row],[STATUS]]="PERDIDO","PERDIDO",IF(VEND[[#This Row],[STATUS]]="EN ESPERA","EN ESPERA")))</f>
        <v>APROBADO</v>
      </c>
      <c r="T183" s="112" t="str">
        <f>IF(VEND[[#This Row],[STATUS]]="O.C","APROBADO",IF(VEND[[#This Row],[STATUS]]="PERDIDO","PERDIDO",IF(VEND[[#This Row],[STATUS]]="EN ESPERA","EN ESPERA")))</f>
        <v>APROBADO</v>
      </c>
      <c r="U183" s="112" t="s">
        <v>45</v>
      </c>
      <c r="V183" s="112" t="s">
        <v>47</v>
      </c>
      <c r="W183" s="112" t="s">
        <v>1410</v>
      </c>
      <c r="X183" s="112" t="s">
        <v>111</v>
      </c>
    </row>
    <row r="184" spans="2:24" ht="15.75" x14ac:dyDescent="0.25">
      <c r="B184" s="71">
        <v>44284</v>
      </c>
      <c r="C184" s="71" t="str">
        <f>TEXT(VEND[[#This Row],[Fecha de Envío
Cotización]],"mmmm")</f>
        <v>marzo</v>
      </c>
      <c r="D184" s="66" t="s">
        <v>945</v>
      </c>
      <c r="E184" s="125" t="s">
        <v>42</v>
      </c>
      <c r="F184" s="92" t="str">
        <f>IF(VEND[[#This Row],[STATUS]]="PERDIDO","N/A","En espera")</f>
        <v>N/A</v>
      </c>
      <c r="G184" s="125" t="str">
        <f>TEXT(VEND[[#This Row],[Fecha Recibe
O.C]],"mmmm")</f>
        <v>N/A</v>
      </c>
      <c r="H184" s="112">
        <v>20042</v>
      </c>
      <c r="I184" s="55" t="s">
        <v>31</v>
      </c>
      <c r="J184" s="112"/>
      <c r="K184" s="58">
        <v>11</v>
      </c>
      <c r="L184" s="123">
        <v>5066</v>
      </c>
      <c r="M184" s="112" t="s">
        <v>15</v>
      </c>
      <c r="N184" s="112">
        <v>14</v>
      </c>
      <c r="O184" s="212" t="str">
        <f>IF(VEND[[#This Row],[STATUS]]="O.C",(VEND[[#This Row],[Fecha Recibe
O.C]]+VEND[[#This Row],[Dias
entrega ]]),"")</f>
        <v/>
      </c>
      <c r="P184" s="212"/>
      <c r="Q184" s="58" t="str">
        <f>IFERROR(VEND[[#This Row],[Fecha de Despacho]]-VEND[[#This Row],[Fecha Estimada de Entrega a  Cliente]],"")</f>
        <v/>
      </c>
      <c r="R1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4" s="112" t="str">
        <f>IF(VEND[[#This Row],[STATUS]]="O.C","APROBADO",IF(VEND[[#This Row],[STATUS]]="PERDIDO","PERDIDO",IF(VEND[[#This Row],[STATUS]]="EN ESPERA","EN ESPERA")))</f>
        <v>PERDIDO</v>
      </c>
      <c r="T184" s="112" t="str">
        <f>IF(VEND[[#This Row],[STATUS]]="O.C","APROBADO",IF(VEND[[#This Row],[STATUS]]="PERDIDO","PERDIDO",IF(VEND[[#This Row],[STATUS]]="EN ESPERA","EN ESPERA")))</f>
        <v>PERDIDO</v>
      </c>
      <c r="U184" s="112" t="s">
        <v>23</v>
      </c>
      <c r="V184" s="112" t="s">
        <v>23</v>
      </c>
      <c r="W184" s="112" t="s">
        <v>1410</v>
      </c>
      <c r="X184" s="112"/>
    </row>
    <row r="185" spans="2:24" ht="15.75" x14ac:dyDescent="0.25">
      <c r="B185" s="71">
        <v>44284</v>
      </c>
      <c r="C185" s="71" t="str">
        <f>TEXT(VEND[[#This Row],[Fecha de Envío
Cotización]],"mmmm")</f>
        <v>marzo</v>
      </c>
      <c r="D185" s="66" t="s">
        <v>50</v>
      </c>
      <c r="E185" s="125" t="s">
        <v>42</v>
      </c>
      <c r="F185" s="125" t="str">
        <f>IF(VEND[[#This Row],[STATUS]]="PERDIDO","N/A","En espera")</f>
        <v>N/A</v>
      </c>
      <c r="G185" s="125" t="str">
        <f>TEXT(VEND[[#This Row],[Fecha Recibe
O.C]],"mmmm")</f>
        <v>N/A</v>
      </c>
      <c r="H185" s="112">
        <v>20230</v>
      </c>
      <c r="I185" s="55" t="s">
        <v>33</v>
      </c>
      <c r="J185" s="112"/>
      <c r="K185" s="145">
        <v>1</v>
      </c>
      <c r="L185" s="123">
        <v>941.4</v>
      </c>
      <c r="M185" s="55" t="s">
        <v>36</v>
      </c>
      <c r="N185" s="112">
        <v>28</v>
      </c>
      <c r="O185" s="212" t="str">
        <f>IF(VEND[[#This Row],[STATUS]]="O.C",(VEND[[#This Row],[Fecha Recibe
O.C]]+VEND[[#This Row],[Dias
entrega ]]),"")</f>
        <v/>
      </c>
      <c r="P185" s="212"/>
      <c r="Q185" s="58" t="str">
        <f>IFERROR(VEND[[#This Row],[Fecha de Despacho]]-VEND[[#This Row],[Fecha Estimada de Entrega a  Cliente]],"")</f>
        <v/>
      </c>
      <c r="R1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5" s="112" t="str">
        <f>IF(VEND[[#This Row],[STATUS]]="O.C","APROBADO",IF(VEND[[#This Row],[STATUS]]="PERDIDO","PERDIDO",IF(VEND[[#This Row],[STATUS]]="EN ESPERA","EN ESPERA")))</f>
        <v>PERDIDO</v>
      </c>
      <c r="T185" s="112" t="str">
        <f>IF(VEND[[#This Row],[STATUS]]="O.C","APROBADO",IF(VEND[[#This Row],[STATUS]]="PERDIDO","PERDIDO",IF(VEND[[#This Row],[STATUS]]="EN ESPERA","EN ESPERA")))</f>
        <v>PERDIDO</v>
      </c>
      <c r="U185" s="55" t="s">
        <v>23</v>
      </c>
      <c r="V185" s="55" t="s">
        <v>23</v>
      </c>
      <c r="W185" s="59" t="s">
        <v>1402</v>
      </c>
      <c r="X185" s="112"/>
    </row>
    <row r="186" spans="2:24" ht="15.75" x14ac:dyDescent="0.25">
      <c r="B186" s="71">
        <v>44284</v>
      </c>
      <c r="C186" s="71" t="str">
        <f>TEXT(VEND[[#This Row],[Fecha de Envío
Cotización]],"mmmm")</f>
        <v>marzo</v>
      </c>
      <c r="D186" s="66" t="s">
        <v>50</v>
      </c>
      <c r="E186" s="125" t="s">
        <v>42</v>
      </c>
      <c r="F186" s="115" t="str">
        <f>IF(VEND[[#This Row],[STATUS]]="PERDIDO","N/A","En espera")</f>
        <v>N/A</v>
      </c>
      <c r="G186" s="125" t="str">
        <f>TEXT(VEND[[#This Row],[Fecha Recibe
O.C]],"mmmm")</f>
        <v>N/A</v>
      </c>
      <c r="H186" s="112">
        <v>20231</v>
      </c>
      <c r="I186" s="55" t="s">
        <v>90</v>
      </c>
      <c r="J186" s="112"/>
      <c r="K186" s="58">
        <v>2</v>
      </c>
      <c r="L186" s="123">
        <v>4614.99</v>
      </c>
      <c r="M186" s="55" t="s">
        <v>36</v>
      </c>
      <c r="N186" s="112">
        <v>28</v>
      </c>
      <c r="O186" s="212" t="str">
        <f>IF(VEND[[#This Row],[STATUS]]="O.C",(VEND[[#This Row],[Fecha Recibe
O.C]]+VEND[[#This Row],[Dias
entrega ]]),"")</f>
        <v/>
      </c>
      <c r="P186" s="212"/>
      <c r="Q186" s="58" t="str">
        <f>IFERROR(VEND[[#This Row],[Fecha de Despacho]]-VEND[[#This Row],[Fecha Estimada de Entrega a  Cliente]],"")</f>
        <v/>
      </c>
      <c r="R1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6" s="112" t="str">
        <f>IF(VEND[[#This Row],[STATUS]]="O.C","APROBADO",IF(VEND[[#This Row],[STATUS]]="PERDIDO","PERDIDO",IF(VEND[[#This Row],[STATUS]]="EN ESPERA","EN ESPERA")))</f>
        <v>PERDIDO</v>
      </c>
      <c r="T186" s="112" t="str">
        <f>IF(VEND[[#This Row],[STATUS]]="O.C","APROBADO",IF(VEND[[#This Row],[STATUS]]="PERDIDO","PERDIDO",IF(VEND[[#This Row],[STATUS]]="EN ESPERA","EN ESPERA")))</f>
        <v>PERDIDO</v>
      </c>
      <c r="U186" s="55" t="s">
        <v>23</v>
      </c>
      <c r="V186" s="55" t="s">
        <v>23</v>
      </c>
      <c r="W186" s="55" t="s">
        <v>1403</v>
      </c>
      <c r="X186" s="112"/>
    </row>
    <row r="187" spans="2:24" ht="15.75" x14ac:dyDescent="0.25">
      <c r="B187" s="71">
        <v>44284</v>
      </c>
      <c r="C187" s="71" t="str">
        <f>TEXT(VEND[[#This Row],[Fecha de Envío
Cotización]],"mmmm")</f>
        <v>marzo</v>
      </c>
      <c r="D187" s="66" t="s">
        <v>1163</v>
      </c>
      <c r="E187" s="125" t="s">
        <v>42</v>
      </c>
      <c r="F187" s="125" t="str">
        <f>IF(VEND[[#This Row],[STATUS]]="PERDIDO","N/A","En espera")</f>
        <v>N/A</v>
      </c>
      <c r="G187" s="125" t="str">
        <f>TEXT(VEND[[#This Row],[Fecha Recibe
O.C]],"mmmm")</f>
        <v>N/A</v>
      </c>
      <c r="H187" s="112" t="s">
        <v>1194</v>
      </c>
      <c r="I187" s="55" t="s">
        <v>1241</v>
      </c>
      <c r="J187" s="55"/>
      <c r="K187" s="58">
        <v>6</v>
      </c>
      <c r="L187" s="123">
        <v>126598.39999999999</v>
      </c>
      <c r="M187" s="55"/>
      <c r="N187" s="112"/>
      <c r="O187" s="212" t="str">
        <f>IF(VEND[[#This Row],[STATUS]]="O.C",(VEND[[#This Row],[Fecha Recibe
O.C]]+VEND[[#This Row],[Dias
entrega ]]),"")</f>
        <v/>
      </c>
      <c r="P187" s="212"/>
      <c r="Q187" s="58" t="str">
        <f>IFERROR(VEND[[#This Row],[Fecha de Despacho]]-VEND[[#This Row],[Fecha Estimada de Entrega a  Cliente]],"")</f>
        <v/>
      </c>
      <c r="R1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7" s="55" t="str">
        <f>IF(VEND[[#This Row],[STATUS]]="O.C","APROBADO",IF(VEND[[#This Row],[STATUS]]="PERDIDO","PERDIDO",IF(VEND[[#This Row],[STATUS]]="EN ESPERA","EN ESPERA")))</f>
        <v>PERDIDO</v>
      </c>
      <c r="T187" s="55" t="str">
        <f>IF(VEND[[#This Row],[STATUS]]="O.C","APROBADO",IF(VEND[[#This Row],[STATUS]]="PERDIDO","PERDIDO",IF(VEND[[#This Row],[STATUS]]="EN ESPERA","EN ESPERA")))</f>
        <v>PERDIDO</v>
      </c>
      <c r="U187" s="55" t="s">
        <v>23</v>
      </c>
      <c r="V187" s="55" t="s">
        <v>23</v>
      </c>
      <c r="W187" s="55" t="s">
        <v>1409</v>
      </c>
      <c r="X187" s="55"/>
    </row>
    <row r="188" spans="2:24" ht="15.75" x14ac:dyDescent="0.25">
      <c r="B188" s="71">
        <v>44285</v>
      </c>
      <c r="C188" s="71" t="str">
        <f>TEXT(VEND[[#This Row],[Fecha de Envío
Cotización]],"mmmm")</f>
        <v>marzo</v>
      </c>
      <c r="D188" s="66" t="s">
        <v>41</v>
      </c>
      <c r="E188" s="125" t="s">
        <v>83</v>
      </c>
      <c r="F188" s="93">
        <v>44285</v>
      </c>
      <c r="G188" s="93" t="str">
        <f>TEXT(VEND[[#This Row],[Fecha Recibe
O.C]],"mmmm")</f>
        <v>marzo</v>
      </c>
      <c r="H188" s="112">
        <v>1707</v>
      </c>
      <c r="I188" s="55" t="s">
        <v>103</v>
      </c>
      <c r="J188" s="112"/>
      <c r="K188" s="58">
        <v>1</v>
      </c>
      <c r="L188" s="123">
        <v>420</v>
      </c>
      <c r="M188" s="112" t="s">
        <v>36</v>
      </c>
      <c r="N188" s="112">
        <v>28</v>
      </c>
      <c r="O188" s="212">
        <f>IF(VEND[[#This Row],[STATUS]]="O.C",(VEND[[#This Row],[Fecha Recibe
O.C]]+VEND[[#This Row],[Dias
entrega ]]),"")</f>
        <v>44313</v>
      </c>
      <c r="P188" s="212">
        <v>44328</v>
      </c>
      <c r="Q188" s="58">
        <f>IFERROR(VEND[[#This Row],[Fecha de Despacho]]-VEND[[#This Row],[Fecha Estimada de Entrega a  Cliente]],"")</f>
        <v>15</v>
      </c>
      <c r="R1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88" s="112" t="str">
        <f>IF(VEND[[#This Row],[STATUS]]="O.C","APROBADO",IF(VEND[[#This Row],[STATUS]]="PERDIDO","PERDIDO",IF(VEND[[#This Row],[STATUS]]="EN ESPERA","EN ESPERA")))</f>
        <v>APROBADO</v>
      </c>
      <c r="T188" s="112" t="str">
        <f>IF(VEND[[#This Row],[STATUS]]="O.C","APROBADO",IF(VEND[[#This Row],[STATUS]]="PERDIDO","PERDIDO",IF(VEND[[#This Row],[STATUS]]="EN ESPERA","EN ESPERA")))</f>
        <v>APROBADO</v>
      </c>
      <c r="U188" s="55" t="s">
        <v>45</v>
      </c>
      <c r="V188" s="55" t="s">
        <v>47</v>
      </c>
      <c r="W188" s="55" t="s">
        <v>1401</v>
      </c>
      <c r="X188" s="112"/>
    </row>
    <row r="189" spans="2:24" ht="15.75" x14ac:dyDescent="0.25">
      <c r="B189" s="71">
        <v>44285</v>
      </c>
      <c r="C189" s="71" t="str">
        <f>TEXT(VEND[[#This Row],[Fecha de Envío
Cotización]],"mmmm")</f>
        <v>marzo</v>
      </c>
      <c r="D189" s="66" t="s">
        <v>68</v>
      </c>
      <c r="E189" s="125" t="s">
        <v>42</v>
      </c>
      <c r="F189" s="92" t="str">
        <f>IF(VEND[[#This Row],[STATUS]]="PERDIDO","N/A","En espera")</f>
        <v>N/A</v>
      </c>
      <c r="G189" s="125" t="str">
        <f>TEXT(VEND[[#This Row],[Fecha Recibe
O.C]],"mmmm")</f>
        <v>N/A</v>
      </c>
      <c r="H189" s="112">
        <v>30850</v>
      </c>
      <c r="I189" s="55" t="s">
        <v>133</v>
      </c>
      <c r="J189" s="112"/>
      <c r="K189" s="58">
        <v>6</v>
      </c>
      <c r="L189" s="123">
        <v>848.98</v>
      </c>
      <c r="M189" s="112" t="s">
        <v>16</v>
      </c>
      <c r="N189" s="112">
        <v>21</v>
      </c>
      <c r="O189" s="212" t="str">
        <f>IF(VEND[[#This Row],[STATUS]]="O.C",(VEND[[#This Row],[Fecha Recibe
O.C]]+VEND[[#This Row],[Dias
entrega ]]),"")</f>
        <v/>
      </c>
      <c r="P189" s="212"/>
      <c r="Q189" s="58" t="str">
        <f>IFERROR(VEND[[#This Row],[Fecha de Despacho]]-VEND[[#This Row],[Fecha Estimada de Entrega a  Cliente]],"")</f>
        <v/>
      </c>
      <c r="R1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89" s="112" t="str">
        <f>IF(VEND[[#This Row],[STATUS]]="O.C","APROBADO",IF(VEND[[#This Row],[STATUS]]="PERDIDO","PERDIDO",IF(VEND[[#This Row],[STATUS]]="EN ESPERA","EN ESPERA")))</f>
        <v>PERDIDO</v>
      </c>
      <c r="T189" s="112" t="str">
        <f>IF(VEND[[#This Row],[STATUS]]="O.C","APROBADO",IF(VEND[[#This Row],[STATUS]]="PERDIDO","PERDIDO",IF(VEND[[#This Row],[STATUS]]="EN ESPERA","EN ESPERA")))</f>
        <v>PERDIDO</v>
      </c>
      <c r="U189" s="112" t="s">
        <v>23</v>
      </c>
      <c r="V189" s="112" t="s">
        <v>23</v>
      </c>
      <c r="W189" s="112" t="s">
        <v>1401</v>
      </c>
      <c r="X189" s="112" t="s">
        <v>43</v>
      </c>
    </row>
    <row r="190" spans="2:24" ht="15.75" x14ac:dyDescent="0.25">
      <c r="B190" s="71">
        <v>44286</v>
      </c>
      <c r="C190" s="71" t="str">
        <f>TEXT(VEND[[#This Row],[Fecha de Envío
Cotización]],"mmmm")</f>
        <v>marzo</v>
      </c>
      <c r="D190" s="66" t="s">
        <v>1163</v>
      </c>
      <c r="E190" s="125" t="s">
        <v>42</v>
      </c>
      <c r="F190" s="125" t="str">
        <f>IF(VEND[[#This Row],[STATUS]]="PERDIDO","N/A","En espera")</f>
        <v>N/A</v>
      </c>
      <c r="G190" s="125" t="str">
        <f>TEXT(VEND[[#This Row],[Fecha Recibe
O.C]],"mmmm")</f>
        <v>N/A</v>
      </c>
      <c r="H190" s="112" t="s">
        <v>1218</v>
      </c>
      <c r="I190" s="55" t="s">
        <v>1241</v>
      </c>
      <c r="J190" s="112"/>
      <c r="K190" s="58">
        <v>1</v>
      </c>
      <c r="L190" s="123">
        <v>985.87</v>
      </c>
      <c r="M190" s="55"/>
      <c r="N190" s="112"/>
      <c r="O190" s="212" t="str">
        <f>IF(VEND[[#This Row],[STATUS]]="O.C",(VEND[[#This Row],[Fecha Recibe
O.C]]+VEND[[#This Row],[Dias
entrega ]]),"")</f>
        <v/>
      </c>
      <c r="P190" s="212"/>
      <c r="Q190" s="58" t="str">
        <f>IFERROR(VEND[[#This Row],[Fecha de Despacho]]-VEND[[#This Row],[Fecha Estimada de Entrega a  Cliente]],"")</f>
        <v/>
      </c>
      <c r="R1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0" s="112" t="str">
        <f>IF(VEND[[#This Row],[STATUS]]="O.C","APROBADO",IF(VEND[[#This Row],[STATUS]]="PERDIDO","PERDIDO",IF(VEND[[#This Row],[STATUS]]="EN ESPERA","EN ESPERA")))</f>
        <v>PERDIDO</v>
      </c>
      <c r="T190" s="112" t="str">
        <f>IF(VEND[[#This Row],[STATUS]]="O.C","APROBADO",IF(VEND[[#This Row],[STATUS]]="PERDIDO","PERDIDO",IF(VEND[[#This Row],[STATUS]]="EN ESPERA","EN ESPERA")))</f>
        <v>PERDIDO</v>
      </c>
      <c r="U190" s="55" t="s">
        <v>23</v>
      </c>
      <c r="V190" s="55" t="s">
        <v>23</v>
      </c>
      <c r="W190" s="55" t="s">
        <v>1409</v>
      </c>
      <c r="X190" s="112"/>
    </row>
    <row r="191" spans="2:24" ht="15.75" x14ac:dyDescent="0.25">
      <c r="B191" s="232">
        <v>44286</v>
      </c>
      <c r="C191" s="71" t="str">
        <f>TEXT(VEND[[#This Row],[Fecha de Envío
Cotización]],"mmmm")</f>
        <v>marzo</v>
      </c>
      <c r="D191" s="66" t="s">
        <v>1163</v>
      </c>
      <c r="E191" s="125" t="s">
        <v>83</v>
      </c>
      <c r="F191" s="93">
        <v>44301</v>
      </c>
      <c r="G191" s="93" t="str">
        <f>TEXT(VEND[[#This Row],[Fecha Recibe
O.C]],"mmmm")</f>
        <v>abril</v>
      </c>
      <c r="H191" s="112" t="s">
        <v>1219</v>
      </c>
      <c r="I191" s="55" t="s">
        <v>1241</v>
      </c>
      <c r="J191" s="112"/>
      <c r="K191" s="58">
        <v>1</v>
      </c>
      <c r="L191" s="123">
        <v>984</v>
      </c>
      <c r="M191" s="55"/>
      <c r="N191" s="112"/>
      <c r="O191" s="212">
        <f>IF(VEND[[#This Row],[STATUS]]="O.C",(VEND[[#This Row],[Fecha Recibe
O.C]]+VEND[[#This Row],[Dias
entrega ]]),"")</f>
        <v>44301</v>
      </c>
      <c r="P191" s="212"/>
      <c r="Q191" s="58">
        <f>IFERROR(VEND[[#This Row],[Fecha de Despacho]]-VEND[[#This Row],[Fecha Estimada de Entrega a  Cliente]],"")</f>
        <v>-44301</v>
      </c>
      <c r="R1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1" s="112" t="str">
        <f>IF(VEND[[#This Row],[STATUS]]="O.C","APROBADO",IF(VEND[[#This Row],[STATUS]]="PERDIDO","PERDIDO",IF(VEND[[#This Row],[STATUS]]="EN ESPERA","EN ESPERA")))</f>
        <v>APROBADO</v>
      </c>
      <c r="T191" s="112" t="str">
        <f>IF(VEND[[#This Row],[STATUS]]="O.C","APROBADO",IF(VEND[[#This Row],[STATUS]]="PERDIDO","PERDIDO",IF(VEND[[#This Row],[STATUS]]="EN ESPERA","EN ESPERA")))</f>
        <v>APROBADO</v>
      </c>
      <c r="U191" s="55" t="s">
        <v>46</v>
      </c>
      <c r="V191" s="55" t="s">
        <v>46</v>
      </c>
      <c r="W191" s="55" t="s">
        <v>1409</v>
      </c>
      <c r="X191" s="112" t="s">
        <v>2423</v>
      </c>
    </row>
    <row r="192" spans="2:24" ht="15.75" x14ac:dyDescent="0.25">
      <c r="B192" s="232">
        <v>44291</v>
      </c>
      <c r="C192" s="71" t="str">
        <f>TEXT(VEND[[#This Row],[Fecha de Envío
Cotización]],"mmmm")</f>
        <v>abril</v>
      </c>
      <c r="D192" s="66" t="s">
        <v>1163</v>
      </c>
      <c r="E192" s="125" t="s">
        <v>83</v>
      </c>
      <c r="F192" s="92">
        <v>44327</v>
      </c>
      <c r="G192" s="125" t="str">
        <f>TEXT(VEND[[#This Row],[Fecha Recibe
O.C]],"mmmm")</f>
        <v>mayo</v>
      </c>
      <c r="H192" s="112">
        <v>377</v>
      </c>
      <c r="I192" s="55" t="s">
        <v>1241</v>
      </c>
      <c r="J192" s="112"/>
      <c r="K192" s="58">
        <v>35</v>
      </c>
      <c r="L192" s="123">
        <v>117.64</v>
      </c>
      <c r="M192" s="112"/>
      <c r="N192" s="112"/>
      <c r="O192" s="212">
        <f>IF(VEND[[#This Row],[STATUS]]="O.C",(VEND[[#This Row],[Fecha Recibe
O.C]]+VEND[[#This Row],[Dias
entrega ]]),"")</f>
        <v>44327</v>
      </c>
      <c r="P192" s="212">
        <v>44378</v>
      </c>
      <c r="Q192" s="58">
        <f>IFERROR(VEND[[#This Row],[Fecha de Despacho]]-VEND[[#This Row],[Fecha Estimada de Entrega a  Cliente]],"")</f>
        <v>51</v>
      </c>
      <c r="R1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92" s="112" t="str">
        <f>IF(VEND[[#This Row],[STATUS]]="O.C","APROBADO",IF(VEND[[#This Row],[STATUS]]="PERDIDO","PERDIDO",IF(VEND[[#This Row],[STATUS]]="EN ESPERA","EN ESPERA")))</f>
        <v>APROBADO</v>
      </c>
      <c r="T192" s="112" t="str">
        <f>IF(VEND[[#This Row],[STATUS]]="O.C","APROBADO",IF(VEND[[#This Row],[STATUS]]="PERDIDO","PERDIDO",IF(VEND[[#This Row],[STATUS]]="EN ESPERA","EN ESPERA")))</f>
        <v>APROBADO</v>
      </c>
      <c r="U192" s="112" t="s">
        <v>45</v>
      </c>
      <c r="V192" s="112" t="s">
        <v>46</v>
      </c>
      <c r="W192" s="112" t="s">
        <v>1409</v>
      </c>
      <c r="X192" s="112" t="s">
        <v>2432</v>
      </c>
    </row>
    <row r="193" spans="2:24" ht="15.75" x14ac:dyDescent="0.25">
      <c r="B193" s="71">
        <v>44291</v>
      </c>
      <c r="C193" s="71" t="str">
        <f>TEXT(VEND[[#This Row],[Fecha de Envío
Cotización]],"mmmm")</f>
        <v>abril</v>
      </c>
      <c r="D193" s="66" t="s">
        <v>1163</v>
      </c>
      <c r="E193" s="125" t="s">
        <v>42</v>
      </c>
      <c r="F193" s="125" t="str">
        <f>IF(VEND[[#This Row],[STATUS]]="PERDIDO","N/A","En espera")</f>
        <v>N/A</v>
      </c>
      <c r="G193" s="125" t="str">
        <f>TEXT(VEND[[#This Row],[Fecha Recibe
O.C]],"mmmm")</f>
        <v>N/A</v>
      </c>
      <c r="H193" s="112">
        <v>453</v>
      </c>
      <c r="I193" s="112" t="s">
        <v>1241</v>
      </c>
      <c r="J193" s="112"/>
      <c r="K193" s="58">
        <v>15</v>
      </c>
      <c r="L193" s="123">
        <v>466.68</v>
      </c>
      <c r="M193" s="112"/>
      <c r="N193" s="112"/>
      <c r="O193" s="212" t="str">
        <f>IF(VEND[[#This Row],[STATUS]]="O.C",(VEND[[#This Row],[Fecha Recibe
O.C]]+VEND[[#This Row],[Dias
entrega ]]),"")</f>
        <v/>
      </c>
      <c r="P193" s="212"/>
      <c r="Q193" s="58" t="str">
        <f>IFERROR(VEND[[#This Row],[Fecha de Despacho]]-VEND[[#This Row],[Fecha Estimada de Entrega a  Cliente]],"")</f>
        <v/>
      </c>
      <c r="R1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3" s="112" t="str">
        <f>IF(VEND[[#This Row],[STATUS]]="O.C","APROBADO",IF(VEND[[#This Row],[STATUS]]="PERDIDO","PERDIDO",IF(VEND[[#This Row],[STATUS]]="EN ESPERA","EN ESPERA")))</f>
        <v>PERDIDO</v>
      </c>
      <c r="T193" s="112" t="str">
        <f>IF(VEND[[#This Row],[STATUS]]="O.C","APROBADO",IF(VEND[[#This Row],[STATUS]]="PERDIDO","PERDIDO",IF(VEND[[#This Row],[STATUS]]="EN ESPERA","EN ESPERA")))</f>
        <v>PERDIDO</v>
      </c>
      <c r="U193" s="112" t="s">
        <v>23</v>
      </c>
      <c r="V193" s="112" t="s">
        <v>23</v>
      </c>
      <c r="W193" s="55" t="s">
        <v>1409</v>
      </c>
      <c r="X193" s="112"/>
    </row>
    <row r="194" spans="2:24" s="16" customFormat="1" ht="15.75" x14ac:dyDescent="0.25">
      <c r="B194" s="233">
        <v>44291</v>
      </c>
      <c r="C194" s="48" t="str">
        <f>TEXT(VEND[[#This Row],[Fecha de Envío
Cotización]],"mmmm")</f>
        <v>abril</v>
      </c>
      <c r="D194" s="7" t="s">
        <v>1163</v>
      </c>
      <c r="E194" s="97" t="s">
        <v>83</v>
      </c>
      <c r="F194" s="94">
        <v>44302</v>
      </c>
      <c r="G194" s="94" t="str">
        <f>TEXT(VEND[[#This Row],[Fecha Recibe
O.C]],"mmmm")</f>
        <v>abril</v>
      </c>
      <c r="H194" s="112">
        <v>459</v>
      </c>
      <c r="I194" s="238" t="s">
        <v>1241</v>
      </c>
      <c r="J194" s="238"/>
      <c r="K194" s="62">
        <v>20</v>
      </c>
      <c r="L194" s="123">
        <v>200.56</v>
      </c>
      <c r="M194" s="238"/>
      <c r="N194" s="112"/>
      <c r="O194" s="213">
        <f>IF(VEND[[#This Row],[STATUS]]="O.C",(VEND[[#This Row],[Fecha Recibe
O.C]]+VEND[[#This Row],[Dias
entrega ]]),"")</f>
        <v>44302</v>
      </c>
      <c r="P194" s="213"/>
      <c r="Q194" s="62">
        <f>IFERROR(VEND[[#This Row],[Fecha de Despacho]]-VEND[[#This Row],[Fecha Estimada de Entrega a  Cliente]],"")</f>
        <v>-44302</v>
      </c>
      <c r="R1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4" s="112" t="str">
        <f>IF(VEND[[#This Row],[STATUS]]="O.C","APROBADO",IF(VEND[[#This Row],[STATUS]]="PERDIDO","PERDIDO",IF(VEND[[#This Row],[STATUS]]="EN ESPERA","EN ESPERA")))</f>
        <v>APROBADO</v>
      </c>
      <c r="T194" s="112" t="str">
        <f>IF(VEND[[#This Row],[STATUS]]="O.C","APROBADO",IF(VEND[[#This Row],[STATUS]]="PERDIDO","PERDIDO",IF(VEND[[#This Row],[STATUS]]="EN ESPERA","EN ESPERA")))</f>
        <v>APROBADO</v>
      </c>
      <c r="U194" s="238" t="s">
        <v>46</v>
      </c>
      <c r="V194" s="238" t="s">
        <v>46</v>
      </c>
      <c r="W194" s="112" t="s">
        <v>1409</v>
      </c>
      <c r="X194" s="63" t="s">
        <v>2438</v>
      </c>
    </row>
    <row r="195" spans="2:24" ht="15.75" x14ac:dyDescent="0.25">
      <c r="B195" s="71">
        <v>44291</v>
      </c>
      <c r="C195" s="71" t="str">
        <f>TEXT(VEND[[#This Row],[Fecha de Envío
Cotización]],"mmmm")</f>
        <v>abril</v>
      </c>
      <c r="D195" s="66" t="s">
        <v>68</v>
      </c>
      <c r="E195" s="125" t="s">
        <v>88</v>
      </c>
      <c r="F195" s="115" t="str">
        <f>IF(VEND[[#This Row],[STATUS]]="PERDIDO","N/A","En espera")</f>
        <v>En espera</v>
      </c>
      <c r="G195" s="125" t="str">
        <f>TEXT(VEND[[#This Row],[Fecha Recibe
O.C]],"mmmm")</f>
        <v>En espera</v>
      </c>
      <c r="H195" s="112">
        <v>36225</v>
      </c>
      <c r="I195" s="112" t="s">
        <v>105</v>
      </c>
      <c r="J195" s="112"/>
      <c r="K195" s="58">
        <v>1</v>
      </c>
      <c r="L195" s="123">
        <v>59876.1</v>
      </c>
      <c r="M195" s="112" t="s">
        <v>106</v>
      </c>
      <c r="N195" s="112">
        <v>60</v>
      </c>
      <c r="O195" s="212" t="str">
        <f>IF(VEND[[#This Row],[STATUS]]="O.C",(VEND[[#This Row],[Fecha Recibe
O.C]]+VEND[[#This Row],[Dias
entrega ]]),"")</f>
        <v/>
      </c>
      <c r="P195" s="212"/>
      <c r="Q195" s="58" t="str">
        <f>IFERROR(VEND[[#This Row],[Fecha de Despacho]]-VEND[[#This Row],[Fecha Estimada de Entrega a  Cliente]],"")</f>
        <v/>
      </c>
      <c r="R1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5" s="112" t="str">
        <f>IF(VEND[[#This Row],[STATUS]]="O.C","APROBADO",IF(VEND[[#This Row],[STATUS]]="PERDIDO","PERDIDO",IF(VEND[[#This Row],[STATUS]]="EN ESPERA","EN ESPERA")))</f>
        <v>EN ESPERA</v>
      </c>
      <c r="T195" s="112" t="str">
        <f>IF(VEND[[#This Row],[STATUS]]="O.C","APROBADO",IF(VEND[[#This Row],[STATUS]]="PERDIDO","PERDIDO",IF(VEND[[#This Row],[STATUS]]="EN ESPERA","EN ESPERA")))</f>
        <v>EN ESPERA</v>
      </c>
      <c r="U195" s="55" t="s">
        <v>23</v>
      </c>
      <c r="V195" s="55" t="s">
        <v>23</v>
      </c>
      <c r="W195" s="59" t="s">
        <v>1405</v>
      </c>
      <c r="X195" s="112"/>
    </row>
    <row r="196" spans="2:24" ht="15.75" x14ac:dyDescent="0.25">
      <c r="B196" s="65">
        <v>44291</v>
      </c>
      <c r="C196" s="71" t="str">
        <f>TEXT(VEND[[#This Row],[Fecha de Envío
Cotización]],"mmmm")</f>
        <v>abril</v>
      </c>
      <c r="D196" s="66" t="s">
        <v>1163</v>
      </c>
      <c r="E196" s="125" t="s">
        <v>42</v>
      </c>
      <c r="F196" s="125" t="str">
        <f>IF(VEND[[#This Row],[STATUS]]="PERDIDO","N/A","En espera")</f>
        <v>N/A</v>
      </c>
      <c r="G196" s="125" t="str">
        <f>TEXT(VEND[[#This Row],[Fecha Recibe
O.C]],"mmmm")</f>
        <v>N/A</v>
      </c>
      <c r="H196" s="112" t="s">
        <v>1220</v>
      </c>
      <c r="I196" s="55" t="s">
        <v>1241</v>
      </c>
      <c r="J196" s="55"/>
      <c r="K196" s="58">
        <v>1</v>
      </c>
      <c r="L196" s="123">
        <v>2196</v>
      </c>
      <c r="M196" s="55"/>
      <c r="N196" s="112"/>
      <c r="O196" s="212" t="str">
        <f>IF(VEND[[#This Row],[STATUS]]="O.C",(VEND[[#This Row],[Fecha Recibe
O.C]]+VEND[[#This Row],[Dias
entrega ]]),"")</f>
        <v/>
      </c>
      <c r="P196" s="212"/>
      <c r="Q196" s="58" t="str">
        <f>IFERROR(VEND[[#This Row],[Fecha de Despacho]]-VEND[[#This Row],[Fecha Estimada de Entrega a  Cliente]],"")</f>
        <v/>
      </c>
      <c r="R1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6" s="55" t="str">
        <f>IF(VEND[[#This Row],[STATUS]]="O.C","APROBADO",IF(VEND[[#This Row],[STATUS]]="PERDIDO","PERDIDO",IF(VEND[[#This Row],[STATUS]]="EN ESPERA","EN ESPERA")))</f>
        <v>PERDIDO</v>
      </c>
      <c r="T196" s="55" t="str">
        <f>IF(VEND[[#This Row],[STATUS]]="O.C","APROBADO",IF(VEND[[#This Row],[STATUS]]="PERDIDO","PERDIDO",IF(VEND[[#This Row],[STATUS]]="EN ESPERA","EN ESPERA")))</f>
        <v>PERDIDO</v>
      </c>
      <c r="U196" s="112" t="s">
        <v>23</v>
      </c>
      <c r="V196" s="112" t="s">
        <v>23</v>
      </c>
      <c r="W196" s="55" t="s">
        <v>1409</v>
      </c>
      <c r="X196" s="55"/>
    </row>
    <row r="197" spans="2:24" ht="15.75" x14ac:dyDescent="0.25">
      <c r="B197" s="65">
        <v>44292</v>
      </c>
      <c r="C197" s="71" t="str">
        <f>TEXT(VEND[[#This Row],[Fecha de Envío
Cotización]],"mmmm")</f>
        <v>abril</v>
      </c>
      <c r="D197" s="66" t="s">
        <v>945</v>
      </c>
      <c r="E197" s="125" t="s">
        <v>83</v>
      </c>
      <c r="F197" s="93">
        <v>44292</v>
      </c>
      <c r="G197" s="93" t="str">
        <f>TEXT(VEND[[#This Row],[Fecha Recibe
O.C]],"mmmm")</f>
        <v>abril</v>
      </c>
      <c r="H197" s="112">
        <v>20046</v>
      </c>
      <c r="I197" s="55" t="s">
        <v>14</v>
      </c>
      <c r="J197" s="112"/>
      <c r="K197" s="58">
        <v>3</v>
      </c>
      <c r="L197" s="123">
        <v>210</v>
      </c>
      <c r="M197" s="55" t="s">
        <v>22</v>
      </c>
      <c r="N197" s="112">
        <v>0</v>
      </c>
      <c r="O197" s="212">
        <f>IF(VEND[[#This Row],[STATUS]]="O.C",(VEND[[#This Row],[Fecha Recibe
O.C]]+VEND[[#This Row],[Dias
entrega ]]),"")</f>
        <v>44292</v>
      </c>
      <c r="P197" s="212">
        <v>44294</v>
      </c>
      <c r="Q197" s="58">
        <f>IFERROR(VEND[[#This Row],[Fecha de Despacho]]-VEND[[#This Row],[Fecha Estimada de Entrega a  Cliente]],"")</f>
        <v>2</v>
      </c>
      <c r="R1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197" s="55" t="str">
        <f>IF(VEND[[#This Row],[STATUS]]="O.C","APROBADO",IF(VEND[[#This Row],[STATUS]]="PERDIDO","PERDIDO",IF(VEND[[#This Row],[STATUS]]="EN ESPERA","EN ESPERA")))</f>
        <v>APROBADO</v>
      </c>
      <c r="T197" s="55" t="str">
        <f>IF(VEND[[#This Row],[STATUS]]="O.C","APROBADO",IF(VEND[[#This Row],[STATUS]]="PERDIDO","PERDIDO",IF(VEND[[#This Row],[STATUS]]="EN ESPERA","EN ESPERA")))</f>
        <v>APROBADO</v>
      </c>
      <c r="U197" s="112" t="s">
        <v>45</v>
      </c>
      <c r="V197" s="112" t="s">
        <v>47</v>
      </c>
      <c r="W197" s="55" t="s">
        <v>1402</v>
      </c>
      <c r="X197" s="55" t="s">
        <v>112</v>
      </c>
    </row>
    <row r="198" spans="2:24" ht="15.75" x14ac:dyDescent="0.25">
      <c r="B198" s="71">
        <v>44292</v>
      </c>
      <c r="C198" s="71" t="str">
        <f>TEXT(VEND[[#This Row],[Fecha de Envío
Cotización]],"mmmm")</f>
        <v>abril</v>
      </c>
      <c r="D198" s="66" t="s">
        <v>945</v>
      </c>
      <c r="E198" s="125" t="s">
        <v>42</v>
      </c>
      <c r="F198" s="125" t="str">
        <f>IF(VEND[[#This Row],[STATUS]]="PERDIDO","N/A","En espera")</f>
        <v>N/A</v>
      </c>
      <c r="G198" s="125" t="str">
        <f>TEXT(VEND[[#This Row],[Fecha Recibe
O.C]],"mmmm")</f>
        <v>N/A</v>
      </c>
      <c r="H198" s="112">
        <v>20049</v>
      </c>
      <c r="I198" s="55" t="s">
        <v>31</v>
      </c>
      <c r="J198" s="112"/>
      <c r="K198" s="58">
        <v>1</v>
      </c>
      <c r="L198" s="123">
        <v>56</v>
      </c>
      <c r="M198" s="55" t="s">
        <v>15</v>
      </c>
      <c r="N198" s="112">
        <v>14</v>
      </c>
      <c r="O198" s="212" t="str">
        <f>IF(VEND[[#This Row],[STATUS]]="O.C",(VEND[[#This Row],[Fecha Recibe
O.C]]+VEND[[#This Row],[Dias
entrega ]]),"")</f>
        <v/>
      </c>
      <c r="P198" s="212"/>
      <c r="Q198" s="58" t="str">
        <f>IFERROR(VEND[[#This Row],[Fecha de Despacho]]-VEND[[#This Row],[Fecha Estimada de Entrega a  Cliente]],"")</f>
        <v/>
      </c>
      <c r="R1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8" s="112" t="str">
        <f>IF(VEND[[#This Row],[STATUS]]="O.C","APROBADO",IF(VEND[[#This Row],[STATUS]]="PERDIDO","PERDIDO",IF(VEND[[#This Row],[STATUS]]="EN ESPERA","EN ESPERA")))</f>
        <v>PERDIDO</v>
      </c>
      <c r="T198" s="112" t="str">
        <f>IF(VEND[[#This Row],[STATUS]]="O.C","APROBADO",IF(VEND[[#This Row],[STATUS]]="PERDIDO","PERDIDO",IF(VEND[[#This Row],[STATUS]]="EN ESPERA","EN ESPERA")))</f>
        <v>PERDIDO</v>
      </c>
      <c r="U198" s="112" t="s">
        <v>23</v>
      </c>
      <c r="V198" s="112" t="s">
        <v>23</v>
      </c>
      <c r="W198" s="55" t="s">
        <v>1410</v>
      </c>
      <c r="X198" s="112"/>
    </row>
    <row r="199" spans="2:24" ht="15.75" x14ac:dyDescent="0.25">
      <c r="B199" s="71">
        <v>44292</v>
      </c>
      <c r="C199" s="71" t="str">
        <f>TEXT(VEND[[#This Row],[Fecha de Envío
Cotización]],"mmmm")</f>
        <v>abril</v>
      </c>
      <c r="D199" s="66" t="s">
        <v>50</v>
      </c>
      <c r="E199" s="125" t="s">
        <v>42</v>
      </c>
      <c r="F199" s="125" t="str">
        <f>IF(VEND[[#This Row],[STATUS]]="PERDIDO","N/A","En espera")</f>
        <v>N/A</v>
      </c>
      <c r="G199" s="125" t="str">
        <f>TEXT(VEND[[#This Row],[Fecha Recibe
O.C]],"mmmm")</f>
        <v>N/A</v>
      </c>
      <c r="H199" s="112">
        <v>20145</v>
      </c>
      <c r="I199" s="55" t="s">
        <v>33</v>
      </c>
      <c r="J199" s="112"/>
      <c r="K199" s="58">
        <v>1</v>
      </c>
      <c r="L199" s="123">
        <v>215.4</v>
      </c>
      <c r="M199" s="55" t="s">
        <v>124</v>
      </c>
      <c r="N199" s="112">
        <v>35</v>
      </c>
      <c r="O199" s="212" t="str">
        <f>IF(VEND[[#This Row],[STATUS]]="O.C",(VEND[[#This Row],[Fecha Recibe
O.C]]+VEND[[#This Row],[Dias
entrega ]]),"")</f>
        <v/>
      </c>
      <c r="P199" s="212"/>
      <c r="Q199" s="58" t="str">
        <f>IFERROR(VEND[[#This Row],[Fecha de Despacho]]-VEND[[#This Row],[Fecha Estimada de Entrega a  Cliente]],"")</f>
        <v/>
      </c>
      <c r="R1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199" s="112" t="str">
        <f>IF(VEND[[#This Row],[STATUS]]="O.C","APROBADO",IF(VEND[[#This Row],[STATUS]]="PERDIDO","PERDIDO",IF(VEND[[#This Row],[STATUS]]="EN ESPERA","EN ESPERA")))</f>
        <v>PERDIDO</v>
      </c>
      <c r="T199" s="112" t="str">
        <f>IF(VEND[[#This Row],[STATUS]]="O.C","APROBADO",IF(VEND[[#This Row],[STATUS]]="PERDIDO","PERDIDO",IF(VEND[[#This Row],[STATUS]]="EN ESPERA","EN ESPERA")))</f>
        <v>PERDIDO</v>
      </c>
      <c r="U199" s="112" t="s">
        <v>23</v>
      </c>
      <c r="V199" s="112" t="s">
        <v>23</v>
      </c>
      <c r="W199" s="55" t="s">
        <v>1402</v>
      </c>
      <c r="X199" s="112"/>
    </row>
    <row r="200" spans="2:24" ht="15.75" x14ac:dyDescent="0.25">
      <c r="B200" s="71">
        <v>44292</v>
      </c>
      <c r="C200" s="71" t="str">
        <f>TEXT(VEND[[#This Row],[Fecha de Envío
Cotización]],"mmmm")</f>
        <v>abril</v>
      </c>
      <c r="D200" s="66" t="s">
        <v>50</v>
      </c>
      <c r="E200" s="125" t="s">
        <v>42</v>
      </c>
      <c r="F200" s="125" t="str">
        <f>IF(VEND[[#This Row],[STATUS]]="PERDIDO","N/A","En espera")</f>
        <v>N/A</v>
      </c>
      <c r="G200" s="125" t="str">
        <f>TEXT(VEND[[#This Row],[Fecha Recibe
O.C]],"mmmm")</f>
        <v>N/A</v>
      </c>
      <c r="H200" s="112">
        <v>20146</v>
      </c>
      <c r="I200" s="55" t="s">
        <v>33</v>
      </c>
      <c r="J200" s="112"/>
      <c r="K200" s="58">
        <v>1</v>
      </c>
      <c r="L200" s="123">
        <v>430.91</v>
      </c>
      <c r="M200" s="55" t="s">
        <v>16</v>
      </c>
      <c r="N200" s="112">
        <v>21</v>
      </c>
      <c r="O200" s="212" t="str">
        <f>IF(VEND[[#This Row],[STATUS]]="O.C",(VEND[[#This Row],[Fecha Recibe
O.C]]+VEND[[#This Row],[Dias
entrega ]]),"")</f>
        <v/>
      </c>
      <c r="P200" s="212"/>
      <c r="Q200" s="58" t="str">
        <f>IFERROR(VEND[[#This Row],[Fecha de Despacho]]-VEND[[#This Row],[Fecha Estimada de Entrega a  Cliente]],"")</f>
        <v/>
      </c>
      <c r="R2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0" s="112" t="str">
        <f>IF(VEND[[#This Row],[STATUS]]="O.C","APROBADO",IF(VEND[[#This Row],[STATUS]]="PERDIDO","PERDIDO",IF(VEND[[#This Row],[STATUS]]="EN ESPERA","EN ESPERA")))</f>
        <v>PERDIDO</v>
      </c>
      <c r="T200" s="112" t="str">
        <f>IF(VEND[[#This Row],[STATUS]]="O.C","APROBADO",IF(VEND[[#This Row],[STATUS]]="PERDIDO","PERDIDO",IF(VEND[[#This Row],[STATUS]]="EN ESPERA","EN ESPERA")))</f>
        <v>PERDIDO</v>
      </c>
      <c r="U200" s="112" t="s">
        <v>23</v>
      </c>
      <c r="V200" s="112" t="s">
        <v>23</v>
      </c>
      <c r="W200" s="55" t="s">
        <v>1402</v>
      </c>
      <c r="X200" s="112"/>
    </row>
    <row r="201" spans="2:24" ht="15.75" x14ac:dyDescent="0.25">
      <c r="B201" s="71">
        <v>44292</v>
      </c>
      <c r="C201" s="71" t="str">
        <f>TEXT(VEND[[#This Row],[Fecha de Envío
Cotización]],"mmmm")</f>
        <v>abril</v>
      </c>
      <c r="D201" s="112" t="s">
        <v>50</v>
      </c>
      <c r="E201" s="125" t="s">
        <v>42</v>
      </c>
      <c r="F201" s="125" t="str">
        <f>IF(VEND[[#This Row],[STATUS]]="PERDIDO","N/A","En espera")</f>
        <v>N/A</v>
      </c>
      <c r="G201" s="125" t="str">
        <f>TEXT(VEND[[#This Row],[Fecha Recibe
O.C]],"mmmm")</f>
        <v>N/A</v>
      </c>
      <c r="H201" s="112">
        <v>20171</v>
      </c>
      <c r="I201" s="112" t="s">
        <v>33</v>
      </c>
      <c r="J201" s="112"/>
      <c r="K201" s="58">
        <v>1</v>
      </c>
      <c r="L201" s="123">
        <v>2727.75</v>
      </c>
      <c r="M201" s="55" t="s">
        <v>104</v>
      </c>
      <c r="N201" s="112">
        <v>5</v>
      </c>
      <c r="O201" s="212" t="str">
        <f>IF(VEND[[#This Row],[STATUS]]="O.C",(VEND[[#This Row],[Fecha Recibe
O.C]]+VEND[[#This Row],[Dias
entrega ]]),"")</f>
        <v/>
      </c>
      <c r="P201" s="212"/>
      <c r="Q201" s="58" t="str">
        <f>IFERROR(VEND[[#This Row],[Fecha de Despacho]]-VEND[[#This Row],[Fecha Estimada de Entrega a  Cliente]],"")</f>
        <v/>
      </c>
      <c r="R2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1" s="112" t="str">
        <f>IF(VEND[[#This Row],[STATUS]]="O.C","APROBADO",IF(VEND[[#This Row],[STATUS]]="PERDIDO","PERDIDO",IF(VEND[[#This Row],[STATUS]]="EN ESPERA","EN ESPERA")))</f>
        <v>PERDIDO</v>
      </c>
      <c r="T201" s="112" t="str">
        <f>IF(VEND[[#This Row],[STATUS]]="O.C","APROBADO",IF(VEND[[#This Row],[STATUS]]="PERDIDO","PERDIDO",IF(VEND[[#This Row],[STATUS]]="EN ESPERA","EN ESPERA")))</f>
        <v>PERDIDO</v>
      </c>
      <c r="U201" s="55" t="s">
        <v>23</v>
      </c>
      <c r="V201" s="55" t="s">
        <v>23</v>
      </c>
      <c r="W201" s="55" t="s">
        <v>1402</v>
      </c>
      <c r="X201" s="55"/>
    </row>
    <row r="202" spans="2:24" ht="15.75" x14ac:dyDescent="0.25">
      <c r="B202" s="71">
        <v>44292</v>
      </c>
      <c r="C202" s="71" t="str">
        <f>TEXT(VEND[[#This Row],[Fecha de Envío
Cotización]],"mmmm")</f>
        <v>abril</v>
      </c>
      <c r="D202" s="66" t="s">
        <v>50</v>
      </c>
      <c r="E202" s="125" t="s">
        <v>42</v>
      </c>
      <c r="F202" s="125" t="str">
        <f>IF(VEND[[#This Row],[STATUS]]="PERDIDO","N/A","En espera")</f>
        <v>N/A</v>
      </c>
      <c r="G202" s="125" t="str">
        <f>TEXT(VEND[[#This Row],[Fecha Recibe
O.C]],"mmmm")</f>
        <v>N/A</v>
      </c>
      <c r="H202" s="112">
        <v>20172</v>
      </c>
      <c r="I202" s="55" t="s">
        <v>118</v>
      </c>
      <c r="J202" s="112"/>
      <c r="K202" s="58">
        <v>10</v>
      </c>
      <c r="L202" s="123">
        <v>1259.6099999999999</v>
      </c>
      <c r="M202" s="55" t="s">
        <v>16</v>
      </c>
      <c r="N202" s="112">
        <v>21</v>
      </c>
      <c r="O202" s="212" t="str">
        <f>IF(VEND[[#This Row],[STATUS]]="O.C",(VEND[[#This Row],[Fecha Recibe
O.C]]+VEND[[#This Row],[Dias
entrega ]]),"")</f>
        <v/>
      </c>
      <c r="P202" s="212"/>
      <c r="Q202" s="58" t="str">
        <f>IFERROR(VEND[[#This Row],[Fecha de Despacho]]-VEND[[#This Row],[Fecha Estimada de Entrega a  Cliente]],"")</f>
        <v/>
      </c>
      <c r="R2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2" s="112" t="str">
        <f>IF(VEND[[#This Row],[STATUS]]="O.C","APROBADO",IF(VEND[[#This Row],[STATUS]]="PERDIDO","PERDIDO",IF(VEND[[#This Row],[STATUS]]="EN ESPERA","EN ESPERA")))</f>
        <v>PERDIDO</v>
      </c>
      <c r="T202" s="112" t="str">
        <f>IF(VEND[[#This Row],[STATUS]]="O.C","APROBADO",IF(VEND[[#This Row],[STATUS]]="PERDIDO","PERDIDO",IF(VEND[[#This Row],[STATUS]]="EN ESPERA","EN ESPERA")))</f>
        <v>PERDIDO</v>
      </c>
      <c r="U202" s="55" t="s">
        <v>23</v>
      </c>
      <c r="V202" s="55" t="s">
        <v>23</v>
      </c>
      <c r="W202" s="55" t="s">
        <v>1401</v>
      </c>
      <c r="X202" s="112"/>
    </row>
    <row r="203" spans="2:24" ht="15.75" x14ac:dyDescent="0.25">
      <c r="B203" s="71">
        <v>44292</v>
      </c>
      <c r="C203" s="71" t="str">
        <f>TEXT(VEND[[#This Row],[Fecha de Envío
Cotización]],"mmmm")</f>
        <v>abril</v>
      </c>
      <c r="D203" s="66" t="s">
        <v>68</v>
      </c>
      <c r="E203" s="125" t="s">
        <v>83</v>
      </c>
      <c r="F203" s="93">
        <v>44300</v>
      </c>
      <c r="G203" s="93" t="str">
        <f>TEXT(VEND[[#This Row],[Fecha Recibe
O.C]],"mmmm")</f>
        <v>abril</v>
      </c>
      <c r="H203" s="112">
        <v>36250</v>
      </c>
      <c r="I203" s="112" t="s">
        <v>96</v>
      </c>
      <c r="J203" s="112"/>
      <c r="K203" s="58">
        <v>1</v>
      </c>
      <c r="L203" s="123">
        <v>133.4</v>
      </c>
      <c r="M203" s="112" t="s">
        <v>22</v>
      </c>
      <c r="N203" s="112">
        <v>0</v>
      </c>
      <c r="O203" s="212">
        <f>IF(VEND[[#This Row],[STATUS]]="O.C",(VEND[[#This Row],[Fecha Recibe
O.C]]+VEND[[#This Row],[Dias
entrega ]]),"")</f>
        <v>44300</v>
      </c>
      <c r="P203" s="212">
        <v>44316</v>
      </c>
      <c r="Q203" s="58">
        <f>IFERROR(VEND[[#This Row],[Fecha de Despacho]]-VEND[[#This Row],[Fecha Estimada de Entrega a  Cliente]],"")</f>
        <v>16</v>
      </c>
      <c r="R2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03" s="112" t="str">
        <f>IF(VEND[[#This Row],[STATUS]]="O.C","APROBADO",IF(VEND[[#This Row],[STATUS]]="PERDIDO","PERDIDO",IF(VEND[[#This Row],[STATUS]]="EN ESPERA","EN ESPERA")))</f>
        <v>APROBADO</v>
      </c>
      <c r="T203" s="112" t="str">
        <f>IF(VEND[[#This Row],[STATUS]]="O.C","APROBADO",IF(VEND[[#This Row],[STATUS]]="PERDIDO","PERDIDO",IF(VEND[[#This Row],[STATUS]]="EN ESPERA","EN ESPERA")))</f>
        <v>APROBADO</v>
      </c>
      <c r="U203" s="55" t="s">
        <v>45</v>
      </c>
      <c r="V203" s="55" t="s">
        <v>47</v>
      </c>
      <c r="W203" s="55" t="s">
        <v>1402</v>
      </c>
      <c r="X203" s="112"/>
    </row>
    <row r="204" spans="2:24" ht="15.75" x14ac:dyDescent="0.25">
      <c r="B204" s="71">
        <v>44292</v>
      </c>
      <c r="C204" s="71" t="str">
        <f>TEXT(VEND[[#This Row],[Fecha de Envío
Cotización]],"mmmm")</f>
        <v>abril</v>
      </c>
      <c r="D204" s="66" t="s">
        <v>1163</v>
      </c>
      <c r="E204" s="125" t="s">
        <v>42</v>
      </c>
      <c r="F204" s="92" t="str">
        <f>IF(VEND[[#This Row],[STATUS]]="PERDIDO","N/A","En espera")</f>
        <v>N/A</v>
      </c>
      <c r="G204" s="125" t="str">
        <f>TEXT(VEND[[#This Row],[Fecha Recibe
O.C]],"mmmm")</f>
        <v>N/A</v>
      </c>
      <c r="H204" s="112" t="s">
        <v>1221</v>
      </c>
      <c r="I204" s="112" t="s">
        <v>1241</v>
      </c>
      <c r="J204" s="112"/>
      <c r="K204" s="58">
        <v>1</v>
      </c>
      <c r="L204" s="123">
        <v>9960</v>
      </c>
      <c r="M204" s="112"/>
      <c r="N204" s="112"/>
      <c r="O204" s="212" t="str">
        <f>IF(VEND[[#This Row],[STATUS]]="O.C",(VEND[[#This Row],[Fecha Recibe
O.C]]+VEND[[#This Row],[Dias
entrega ]]),"")</f>
        <v/>
      </c>
      <c r="P204" s="212"/>
      <c r="Q204" s="58" t="str">
        <f>IFERROR(VEND[[#This Row],[Fecha de Despacho]]-VEND[[#This Row],[Fecha Estimada de Entrega a  Cliente]],"")</f>
        <v/>
      </c>
      <c r="R2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4" s="112" t="str">
        <f>IF(VEND[[#This Row],[STATUS]]="O.C","APROBADO",IF(VEND[[#This Row],[STATUS]]="PERDIDO","PERDIDO",IF(VEND[[#This Row],[STATUS]]="EN ESPERA","EN ESPERA")))</f>
        <v>PERDIDO</v>
      </c>
      <c r="T204" s="112" t="str">
        <f>IF(VEND[[#This Row],[STATUS]]="O.C","APROBADO",IF(VEND[[#This Row],[STATUS]]="PERDIDO","PERDIDO",IF(VEND[[#This Row],[STATUS]]="EN ESPERA","EN ESPERA")))</f>
        <v>PERDIDO</v>
      </c>
      <c r="U204" s="55" t="s">
        <v>23</v>
      </c>
      <c r="V204" s="55" t="s">
        <v>23</v>
      </c>
      <c r="W204" s="55" t="s">
        <v>1409</v>
      </c>
      <c r="X204" s="112"/>
    </row>
    <row r="205" spans="2:24" ht="15.75" x14ac:dyDescent="0.25">
      <c r="B205" s="71">
        <v>44292</v>
      </c>
      <c r="C205" s="71" t="str">
        <f>TEXT(VEND[[#This Row],[Fecha de Envío
Cotización]],"mmmm")</f>
        <v>abril</v>
      </c>
      <c r="D205" s="66" t="s">
        <v>1163</v>
      </c>
      <c r="E205" s="125" t="s">
        <v>42</v>
      </c>
      <c r="F205" s="92" t="str">
        <f>IF(VEND[[#This Row],[STATUS]]="PERDIDO","N/A","En espera")</f>
        <v>N/A</v>
      </c>
      <c r="G205" s="125" t="str">
        <f>TEXT(VEND[[#This Row],[Fecha Recibe
O.C]],"mmmm")</f>
        <v>N/A</v>
      </c>
      <c r="H205" s="112" t="s">
        <v>1222</v>
      </c>
      <c r="I205" s="112" t="s">
        <v>1241</v>
      </c>
      <c r="J205" s="112"/>
      <c r="K205" s="58">
        <v>1</v>
      </c>
      <c r="L205" s="123">
        <v>7120</v>
      </c>
      <c r="M205" s="112"/>
      <c r="N205" s="112"/>
      <c r="O205" s="212" t="str">
        <f>IF(VEND[[#This Row],[STATUS]]="O.C",(VEND[[#This Row],[Fecha Recibe
O.C]]+VEND[[#This Row],[Dias
entrega ]]),"")</f>
        <v/>
      </c>
      <c r="P205" s="212"/>
      <c r="Q205" s="58" t="str">
        <f>IFERROR(VEND[[#This Row],[Fecha de Despacho]]-VEND[[#This Row],[Fecha Estimada de Entrega a  Cliente]],"")</f>
        <v/>
      </c>
      <c r="R2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5" s="112" t="str">
        <f>IF(VEND[[#This Row],[STATUS]]="O.C","APROBADO",IF(VEND[[#This Row],[STATUS]]="PERDIDO","PERDIDO",IF(VEND[[#This Row],[STATUS]]="EN ESPERA","EN ESPERA")))</f>
        <v>PERDIDO</v>
      </c>
      <c r="T205" s="112" t="str">
        <f>IF(VEND[[#This Row],[STATUS]]="O.C","APROBADO",IF(VEND[[#This Row],[STATUS]]="PERDIDO","PERDIDO",IF(VEND[[#This Row],[STATUS]]="EN ESPERA","EN ESPERA")))</f>
        <v>PERDIDO</v>
      </c>
      <c r="U205" s="55" t="s">
        <v>23</v>
      </c>
      <c r="V205" s="55" t="s">
        <v>23</v>
      </c>
      <c r="W205" s="55" t="s">
        <v>1409</v>
      </c>
      <c r="X205" s="112"/>
    </row>
    <row r="206" spans="2:24" ht="15.75" x14ac:dyDescent="0.25">
      <c r="B206" s="71">
        <v>44292</v>
      </c>
      <c r="C206" s="71" t="str">
        <f>TEXT(VEND[[#This Row],[Fecha de Envío
Cotización]],"mmmm")</f>
        <v>abril</v>
      </c>
      <c r="D206" s="66" t="s">
        <v>1163</v>
      </c>
      <c r="E206" s="125" t="s">
        <v>42</v>
      </c>
      <c r="F206" s="125" t="str">
        <f>IF(VEND[[#This Row],[STATUS]]="PERDIDO","N/A","En espera")</f>
        <v>N/A</v>
      </c>
      <c r="G206" s="125" t="str">
        <f>TEXT(VEND[[#This Row],[Fecha Recibe
O.C]],"mmmm")</f>
        <v>N/A</v>
      </c>
      <c r="H206" s="112" t="s">
        <v>1223</v>
      </c>
      <c r="I206" s="112" t="s">
        <v>1241</v>
      </c>
      <c r="J206" s="112"/>
      <c r="K206" s="58">
        <v>1</v>
      </c>
      <c r="L206" s="123">
        <v>288</v>
      </c>
      <c r="M206" s="112"/>
      <c r="N206" s="112"/>
      <c r="O206" s="212" t="str">
        <f>IF(VEND[[#This Row],[STATUS]]="O.C",(VEND[[#This Row],[Fecha Recibe
O.C]]+VEND[[#This Row],[Dias
entrega ]]),"")</f>
        <v/>
      </c>
      <c r="P206" s="212"/>
      <c r="Q206" s="58" t="str">
        <f>IFERROR(VEND[[#This Row],[Fecha de Despacho]]-VEND[[#This Row],[Fecha Estimada de Entrega a  Cliente]],"")</f>
        <v/>
      </c>
      <c r="R2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6" s="112" t="str">
        <f>IF(VEND[[#This Row],[STATUS]]="O.C","APROBADO",IF(VEND[[#This Row],[STATUS]]="PERDIDO","PERDIDO",IF(VEND[[#This Row],[STATUS]]="EN ESPERA","EN ESPERA")))</f>
        <v>PERDIDO</v>
      </c>
      <c r="T206" s="112" t="str">
        <f>IF(VEND[[#This Row],[STATUS]]="O.C","APROBADO",IF(VEND[[#This Row],[STATUS]]="PERDIDO","PERDIDO",IF(VEND[[#This Row],[STATUS]]="EN ESPERA","EN ESPERA")))</f>
        <v>PERDIDO</v>
      </c>
      <c r="U206" s="55" t="s">
        <v>23</v>
      </c>
      <c r="V206" s="55" t="s">
        <v>23</v>
      </c>
      <c r="W206" s="55" t="s">
        <v>1409</v>
      </c>
      <c r="X206" s="112"/>
    </row>
    <row r="207" spans="2:24" ht="15.75" x14ac:dyDescent="0.25">
      <c r="B207" s="71">
        <v>44293</v>
      </c>
      <c r="C207" s="71" t="str">
        <f>TEXT(VEND[[#This Row],[Fecha de Envío
Cotización]],"mmmm")</f>
        <v>abril</v>
      </c>
      <c r="D207" s="66" t="s">
        <v>41</v>
      </c>
      <c r="E207" s="125" t="s">
        <v>42</v>
      </c>
      <c r="F207" s="125" t="str">
        <f>IF(VEND[[#This Row],[STATUS]]="PERDIDO","N/A","En espera")</f>
        <v>N/A</v>
      </c>
      <c r="G207" s="125" t="str">
        <f>TEXT(VEND[[#This Row],[Fecha Recibe
O.C]],"mmmm")</f>
        <v>N/A</v>
      </c>
      <c r="H207" s="112">
        <v>1805</v>
      </c>
      <c r="I207" s="112" t="s">
        <v>103</v>
      </c>
      <c r="J207" s="112"/>
      <c r="K207" s="58">
        <v>1</v>
      </c>
      <c r="L207" s="123">
        <v>3050</v>
      </c>
      <c r="M207" s="112" t="s">
        <v>114</v>
      </c>
      <c r="N207" s="112">
        <v>28</v>
      </c>
      <c r="O207" s="212" t="str">
        <f>IF(VEND[[#This Row],[STATUS]]="O.C",(VEND[[#This Row],[Fecha Recibe
O.C]]+VEND[[#This Row],[Dias
entrega ]]),"")</f>
        <v/>
      </c>
      <c r="P207" s="212"/>
      <c r="Q207" s="58" t="str">
        <f>IFERROR(VEND[[#This Row],[Fecha de Despacho]]-VEND[[#This Row],[Fecha Estimada de Entrega a  Cliente]],"")</f>
        <v/>
      </c>
      <c r="R2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7" s="112" t="str">
        <f>IF(VEND[[#This Row],[STATUS]]="O.C","APROBADO",IF(VEND[[#This Row],[STATUS]]="PERDIDO","PERDIDO",IF(VEND[[#This Row],[STATUS]]="EN ESPERA","EN ESPERA")))</f>
        <v>PERDIDO</v>
      </c>
      <c r="T207" s="112" t="str">
        <f>IF(VEND[[#This Row],[STATUS]]="O.C","APROBADO",IF(VEND[[#This Row],[STATUS]]="PERDIDO","PERDIDO",IF(VEND[[#This Row],[STATUS]]="EN ESPERA","EN ESPERA")))</f>
        <v>PERDIDO</v>
      </c>
      <c r="U207" s="55" t="s">
        <v>23</v>
      </c>
      <c r="V207" s="55" t="s">
        <v>23</v>
      </c>
      <c r="W207" s="55" t="s">
        <v>1401</v>
      </c>
      <c r="X207" s="112"/>
    </row>
    <row r="208" spans="2:24" ht="15.75" x14ac:dyDescent="0.25">
      <c r="B208" s="71">
        <v>44293</v>
      </c>
      <c r="C208" s="71" t="str">
        <f>TEXT(VEND[[#This Row],[Fecha de Envío
Cotización]],"mmmm")</f>
        <v>abril</v>
      </c>
      <c r="D208" s="66" t="s">
        <v>945</v>
      </c>
      <c r="E208" s="125" t="s">
        <v>42</v>
      </c>
      <c r="F208" s="125" t="str">
        <f>IF(VEND[[#This Row],[STATUS]]="PERDIDO","N/A","En espera")</f>
        <v>N/A</v>
      </c>
      <c r="G208" s="125" t="str">
        <f>TEXT(VEND[[#This Row],[Fecha Recibe
O.C]],"mmmm")</f>
        <v>N/A</v>
      </c>
      <c r="H208" s="112">
        <v>20049</v>
      </c>
      <c r="I208" s="112" t="s">
        <v>113</v>
      </c>
      <c r="J208" s="112"/>
      <c r="K208" s="58">
        <v>2</v>
      </c>
      <c r="L208" s="123">
        <v>2706</v>
      </c>
      <c r="M208" s="112" t="s">
        <v>15</v>
      </c>
      <c r="N208" s="112">
        <v>14</v>
      </c>
      <c r="O208" s="212" t="str">
        <f>IF(VEND[[#This Row],[STATUS]]="O.C",(VEND[[#This Row],[Fecha Recibe
O.C]]+VEND[[#This Row],[Dias
entrega ]]),"")</f>
        <v/>
      </c>
      <c r="P208" s="212"/>
      <c r="Q208" s="58" t="str">
        <f>IFERROR(VEND[[#This Row],[Fecha de Despacho]]-VEND[[#This Row],[Fecha Estimada de Entrega a  Cliente]],"")</f>
        <v/>
      </c>
      <c r="R20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8" s="112" t="str">
        <f>IF(VEND[[#This Row],[STATUS]]="O.C","APROBADO",IF(VEND[[#This Row],[STATUS]]="PERDIDO","PERDIDO",IF(VEND[[#This Row],[STATUS]]="EN ESPERA","EN ESPERA")))</f>
        <v>PERDIDO</v>
      </c>
      <c r="T208" s="112" t="str">
        <f>IF(VEND[[#This Row],[STATUS]]="O.C","APROBADO",IF(VEND[[#This Row],[STATUS]]="PERDIDO","PERDIDO",IF(VEND[[#This Row],[STATUS]]="EN ESPERA","EN ESPERA")))</f>
        <v>PERDIDO</v>
      </c>
      <c r="U208" s="112" t="s">
        <v>23</v>
      </c>
      <c r="V208" s="112" t="s">
        <v>23</v>
      </c>
      <c r="W208" s="55" t="s">
        <v>1408</v>
      </c>
      <c r="X208" s="112"/>
    </row>
    <row r="209" spans="2:24" ht="15.75" x14ac:dyDescent="0.25">
      <c r="B209" s="71">
        <v>44293</v>
      </c>
      <c r="C209" s="71" t="str">
        <f>TEXT(VEND[[#This Row],[Fecha de Envío
Cotización]],"mmmm")</f>
        <v>abril</v>
      </c>
      <c r="D209" s="66" t="s">
        <v>50</v>
      </c>
      <c r="E209" s="125" t="s">
        <v>42</v>
      </c>
      <c r="F209" s="125" t="str">
        <f>IF(VEND[[#This Row],[STATUS]]="PERDIDO","N/A","En espera")</f>
        <v>N/A</v>
      </c>
      <c r="G209" s="125" t="str">
        <f>TEXT(VEND[[#This Row],[Fecha Recibe
O.C]],"mmmm")</f>
        <v>N/A</v>
      </c>
      <c r="H209" s="112">
        <v>20171</v>
      </c>
      <c r="I209" s="112" t="s">
        <v>33</v>
      </c>
      <c r="J209" s="112"/>
      <c r="K209" s="58">
        <v>2</v>
      </c>
      <c r="L209" s="123">
        <v>1235</v>
      </c>
      <c r="M209" s="112" t="s">
        <v>22</v>
      </c>
      <c r="N209" s="112">
        <v>0</v>
      </c>
      <c r="O209" s="212" t="str">
        <f>IF(VEND[[#This Row],[STATUS]]="O.C",(VEND[[#This Row],[Fecha Recibe
O.C]]+VEND[[#This Row],[Dias
entrega ]]),"")</f>
        <v/>
      </c>
      <c r="P209" s="212"/>
      <c r="Q209" s="58" t="str">
        <f>IFERROR(VEND[[#This Row],[Fecha de Despacho]]-VEND[[#This Row],[Fecha Estimada de Entrega a  Cliente]],"")</f>
        <v/>
      </c>
      <c r="R2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09" s="112" t="str">
        <f>IF(VEND[[#This Row],[STATUS]]="O.C","APROBADO",IF(VEND[[#This Row],[STATUS]]="PERDIDO","PERDIDO",IF(VEND[[#This Row],[STATUS]]="EN ESPERA","EN ESPERA")))</f>
        <v>PERDIDO</v>
      </c>
      <c r="T209" s="112" t="str">
        <f>IF(VEND[[#This Row],[STATUS]]="O.C","APROBADO",IF(VEND[[#This Row],[STATUS]]="PERDIDO","PERDIDO",IF(VEND[[#This Row],[STATUS]]="EN ESPERA","EN ESPERA")))</f>
        <v>PERDIDO</v>
      </c>
      <c r="U209" s="112" t="s">
        <v>23</v>
      </c>
      <c r="V209" s="112" t="s">
        <v>23</v>
      </c>
      <c r="W209" s="112" t="s">
        <v>1402</v>
      </c>
      <c r="X209" s="112"/>
    </row>
    <row r="210" spans="2:24" s="10" customFormat="1" ht="15.75" x14ac:dyDescent="0.25">
      <c r="B210" s="71">
        <v>44293</v>
      </c>
      <c r="C210" s="71" t="str">
        <f>TEXT(VEND[[#This Row],[Fecha de Envío
Cotización]],"mmmm")</f>
        <v>abril</v>
      </c>
      <c r="D210" s="66" t="s">
        <v>50</v>
      </c>
      <c r="E210" s="125" t="s">
        <v>42</v>
      </c>
      <c r="F210" s="125" t="str">
        <f>IF(VEND[[#This Row],[STATUS]]="PERDIDO","N/A","En espera")</f>
        <v>N/A</v>
      </c>
      <c r="G210" s="125" t="str">
        <f>TEXT(VEND[[#This Row],[Fecha Recibe
O.C]],"mmmm")</f>
        <v>N/A</v>
      </c>
      <c r="H210" s="112">
        <v>20173</v>
      </c>
      <c r="I210" s="112" t="s">
        <v>90</v>
      </c>
      <c r="J210" s="112"/>
      <c r="K210" s="58">
        <v>3</v>
      </c>
      <c r="L210" s="123">
        <v>2557.87</v>
      </c>
      <c r="M210" s="112" t="s">
        <v>36</v>
      </c>
      <c r="N210" s="112">
        <v>28</v>
      </c>
      <c r="O210" s="212" t="str">
        <f>IF(VEND[[#This Row],[STATUS]]="O.C",(VEND[[#This Row],[Fecha Recibe
O.C]]+VEND[[#This Row],[Dias
entrega ]]),"")</f>
        <v/>
      </c>
      <c r="P210" s="212"/>
      <c r="Q210" s="58" t="str">
        <f>IFERROR(VEND[[#This Row],[Fecha de Despacho]]-VEND[[#This Row],[Fecha Estimada de Entrega a  Cliente]],"")</f>
        <v/>
      </c>
      <c r="R2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0" s="112" t="str">
        <f>IF(VEND[[#This Row],[STATUS]]="O.C","APROBADO",IF(VEND[[#This Row],[STATUS]]="PERDIDO","PERDIDO",IF(VEND[[#This Row],[STATUS]]="EN ESPERA","EN ESPERA")))</f>
        <v>PERDIDO</v>
      </c>
      <c r="T210" s="112" t="str">
        <f>IF(VEND[[#This Row],[STATUS]]="O.C","APROBADO",IF(VEND[[#This Row],[STATUS]]="PERDIDO","PERDIDO",IF(VEND[[#This Row],[STATUS]]="EN ESPERA","EN ESPERA")))</f>
        <v>PERDIDO</v>
      </c>
      <c r="U210" s="55" t="s">
        <v>23</v>
      </c>
      <c r="V210" s="55" t="s">
        <v>23</v>
      </c>
      <c r="W210" s="112" t="s">
        <v>1403</v>
      </c>
      <c r="X210" s="112"/>
    </row>
    <row r="211" spans="2:24" s="10" customFormat="1" ht="15.75" x14ac:dyDescent="0.25">
      <c r="B211" s="71">
        <v>44293</v>
      </c>
      <c r="C211" s="71" t="str">
        <f>TEXT(VEND[[#This Row],[Fecha de Envío
Cotización]],"mmmm")</f>
        <v>abril</v>
      </c>
      <c r="D211" s="66" t="s">
        <v>50</v>
      </c>
      <c r="E211" s="125" t="s">
        <v>42</v>
      </c>
      <c r="F211" s="125" t="str">
        <f>IF(VEND[[#This Row],[STATUS]]="PERDIDO","N/A","En espera")</f>
        <v>N/A</v>
      </c>
      <c r="G211" s="125" t="str">
        <f>TEXT(VEND[[#This Row],[Fecha Recibe
O.C]],"mmmm")</f>
        <v>N/A</v>
      </c>
      <c r="H211" s="112">
        <v>20174</v>
      </c>
      <c r="I211" s="112" t="s">
        <v>90</v>
      </c>
      <c r="J211" s="112"/>
      <c r="K211" s="58">
        <v>3</v>
      </c>
      <c r="L211" s="123">
        <v>1016.86</v>
      </c>
      <c r="M211" s="112" t="s">
        <v>36</v>
      </c>
      <c r="N211" s="112">
        <v>28</v>
      </c>
      <c r="O211" s="212" t="str">
        <f>IF(VEND[[#This Row],[STATUS]]="O.C",(VEND[[#This Row],[Fecha Recibe
O.C]]+VEND[[#This Row],[Dias
entrega ]]),"")</f>
        <v/>
      </c>
      <c r="P211" s="212"/>
      <c r="Q211" s="58" t="str">
        <f>IFERROR(VEND[[#This Row],[Fecha de Despacho]]-VEND[[#This Row],[Fecha Estimada de Entrega a  Cliente]],"")</f>
        <v/>
      </c>
      <c r="R2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1" s="112" t="str">
        <f>IF(VEND[[#This Row],[STATUS]]="O.C","APROBADO",IF(VEND[[#This Row],[STATUS]]="PERDIDO","PERDIDO",IF(VEND[[#This Row],[STATUS]]="EN ESPERA","EN ESPERA")))</f>
        <v>PERDIDO</v>
      </c>
      <c r="T211" s="112" t="str">
        <f>IF(VEND[[#This Row],[STATUS]]="O.C","APROBADO",IF(VEND[[#This Row],[STATUS]]="PERDIDO","PERDIDO",IF(VEND[[#This Row],[STATUS]]="EN ESPERA","EN ESPERA")))</f>
        <v>PERDIDO</v>
      </c>
      <c r="U211" s="112" t="s">
        <v>23</v>
      </c>
      <c r="V211" s="112" t="s">
        <v>23</v>
      </c>
      <c r="W211" s="55" t="s">
        <v>1403</v>
      </c>
      <c r="X211" s="112"/>
    </row>
    <row r="212" spans="2:24" s="10" customFormat="1" ht="15.75" x14ac:dyDescent="0.25">
      <c r="B212" s="71">
        <v>44293</v>
      </c>
      <c r="C212" s="71" t="str">
        <f>TEXT(VEND[[#This Row],[Fecha de Envío
Cotización]],"mmmm")</f>
        <v>abril</v>
      </c>
      <c r="D212" s="66" t="s">
        <v>50</v>
      </c>
      <c r="E212" s="125" t="s">
        <v>42</v>
      </c>
      <c r="F212" s="125" t="str">
        <f>IF(VEND[[#This Row],[STATUS]]="PERDIDO","N/A","En espera")</f>
        <v>N/A</v>
      </c>
      <c r="G212" s="125" t="str">
        <f>TEXT(VEND[[#This Row],[Fecha Recibe
O.C]],"mmmm")</f>
        <v>N/A</v>
      </c>
      <c r="H212" s="112">
        <v>20176</v>
      </c>
      <c r="I212" s="55" t="s">
        <v>33</v>
      </c>
      <c r="J212" s="112"/>
      <c r="K212" s="58">
        <v>1</v>
      </c>
      <c r="L212" s="123">
        <v>577.5</v>
      </c>
      <c r="M212" s="55" t="s">
        <v>104</v>
      </c>
      <c r="N212" s="112">
        <v>5</v>
      </c>
      <c r="O212" s="212" t="str">
        <f>IF(VEND[[#This Row],[STATUS]]="O.C",(VEND[[#This Row],[Fecha Recibe
O.C]]+VEND[[#This Row],[Dias
entrega ]]),"")</f>
        <v/>
      </c>
      <c r="P212" s="212"/>
      <c r="Q212" s="58" t="str">
        <f>IFERROR(VEND[[#This Row],[Fecha de Despacho]]-VEND[[#This Row],[Fecha Estimada de Entrega a  Cliente]],"")</f>
        <v/>
      </c>
      <c r="R2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2" s="112" t="str">
        <f>IF(VEND[[#This Row],[STATUS]]="O.C","APROBADO",IF(VEND[[#This Row],[STATUS]]="PERDIDO","PERDIDO",IF(VEND[[#This Row],[STATUS]]="EN ESPERA","EN ESPERA")))</f>
        <v>PERDIDO</v>
      </c>
      <c r="T212" s="112" t="str">
        <f>IF(VEND[[#This Row],[STATUS]]="O.C","APROBADO",IF(VEND[[#This Row],[STATUS]]="PERDIDO","PERDIDO",IF(VEND[[#This Row],[STATUS]]="EN ESPERA","EN ESPERA")))</f>
        <v>PERDIDO</v>
      </c>
      <c r="U212" s="112" t="s">
        <v>23</v>
      </c>
      <c r="V212" s="112" t="s">
        <v>23</v>
      </c>
      <c r="W212" s="55" t="s">
        <v>1402</v>
      </c>
      <c r="X212" s="112"/>
    </row>
    <row r="213" spans="2:24" s="10" customFormat="1" ht="15.75" x14ac:dyDescent="0.25">
      <c r="B213" s="71">
        <v>44293</v>
      </c>
      <c r="C213" s="71" t="str">
        <f>TEXT(VEND[[#This Row],[Fecha de Envío
Cotización]],"mmmm")</f>
        <v>abril</v>
      </c>
      <c r="D213" s="66" t="s">
        <v>68</v>
      </c>
      <c r="E213" s="125" t="s">
        <v>88</v>
      </c>
      <c r="F213" s="125" t="str">
        <f>IF(VEND[[#This Row],[STATUS]]="PERDIDO","N/A","En espera")</f>
        <v>En espera</v>
      </c>
      <c r="G213" s="125" t="str">
        <f>TEXT(VEND[[#This Row],[Fecha Recibe
O.C]],"mmmm")</f>
        <v>En espera</v>
      </c>
      <c r="H213" s="112">
        <v>36280</v>
      </c>
      <c r="I213" s="112" t="s">
        <v>96</v>
      </c>
      <c r="J213" s="112"/>
      <c r="K213" s="58">
        <v>3</v>
      </c>
      <c r="L213" s="123">
        <v>1674</v>
      </c>
      <c r="M213" s="112" t="s">
        <v>16</v>
      </c>
      <c r="N213" s="112">
        <v>21</v>
      </c>
      <c r="O213" s="212" t="str">
        <f>IF(VEND[[#This Row],[STATUS]]="O.C",(VEND[[#This Row],[Fecha Recibe
O.C]]+VEND[[#This Row],[Dias
entrega ]]),"")</f>
        <v/>
      </c>
      <c r="P213" s="212"/>
      <c r="Q213" s="58" t="str">
        <f>IFERROR(VEND[[#This Row],[Fecha de Despacho]]-VEND[[#This Row],[Fecha Estimada de Entrega a  Cliente]],"")</f>
        <v/>
      </c>
      <c r="R2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3" s="112" t="str">
        <f>IF(VEND[[#This Row],[STATUS]]="O.C","APROBADO",IF(VEND[[#This Row],[STATUS]]="PERDIDO","PERDIDO",IF(VEND[[#This Row],[STATUS]]="EN ESPERA","EN ESPERA")))</f>
        <v>EN ESPERA</v>
      </c>
      <c r="T213" s="112" t="str">
        <f>IF(VEND[[#This Row],[STATUS]]="O.C","APROBADO",IF(VEND[[#This Row],[STATUS]]="PERDIDO","PERDIDO",IF(VEND[[#This Row],[STATUS]]="EN ESPERA","EN ESPERA")))</f>
        <v>EN ESPERA</v>
      </c>
      <c r="U213" s="112" t="s">
        <v>23</v>
      </c>
      <c r="V213" s="112" t="s">
        <v>23</v>
      </c>
      <c r="W213" s="55" t="s">
        <v>1402</v>
      </c>
      <c r="X213" s="112"/>
    </row>
    <row r="214" spans="2:24" ht="15.75" x14ac:dyDescent="0.25">
      <c r="B214" s="71">
        <v>44293</v>
      </c>
      <c r="C214" s="71" t="str">
        <f>TEXT(VEND[[#This Row],[Fecha de Envío
Cotización]],"mmmm")</f>
        <v>abril</v>
      </c>
      <c r="D214" s="66" t="s">
        <v>944</v>
      </c>
      <c r="E214" s="125" t="s">
        <v>42</v>
      </c>
      <c r="F214" s="125" t="str">
        <f>IF(VEND[[#This Row],[STATUS]]="PERDIDO","N/A","En espera")</f>
        <v>N/A</v>
      </c>
      <c r="G214" s="125" t="str">
        <f>TEXT(VEND[[#This Row],[Fecha Recibe
O.C]],"mmmm")</f>
        <v>N/A</v>
      </c>
      <c r="H214" s="112">
        <v>362914</v>
      </c>
      <c r="I214" s="112" t="s">
        <v>129</v>
      </c>
      <c r="J214" s="112"/>
      <c r="K214" s="58">
        <v>1</v>
      </c>
      <c r="L214" s="123">
        <v>6975</v>
      </c>
      <c r="M214" s="112" t="s">
        <v>16</v>
      </c>
      <c r="N214" s="112">
        <v>21</v>
      </c>
      <c r="O214" s="212" t="str">
        <f>IF(VEND[[#This Row],[STATUS]]="O.C",(VEND[[#This Row],[Fecha Recibe
O.C]]+VEND[[#This Row],[Dias
entrega ]]),"")</f>
        <v/>
      </c>
      <c r="P214" s="212"/>
      <c r="Q214" s="58" t="str">
        <f>IFERROR(VEND[[#This Row],[Fecha de Despacho]]-VEND[[#This Row],[Fecha Estimada de Entrega a  Cliente]],"")</f>
        <v/>
      </c>
      <c r="R2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4" s="112" t="str">
        <f>IF(VEND[[#This Row],[STATUS]]="O.C","APROBADO",IF(VEND[[#This Row],[STATUS]]="PERDIDO","PERDIDO",IF(VEND[[#This Row],[STATUS]]="EN ESPERA","EN ESPERA")))</f>
        <v>PERDIDO</v>
      </c>
      <c r="T214" s="112" t="str">
        <f>IF(VEND[[#This Row],[STATUS]]="O.C","APROBADO",IF(VEND[[#This Row],[STATUS]]="PERDIDO","PERDIDO",IF(VEND[[#This Row],[STATUS]]="EN ESPERA","EN ESPERA")))</f>
        <v>PERDIDO</v>
      </c>
      <c r="U214" s="112" t="s">
        <v>23</v>
      </c>
      <c r="V214" s="112" t="s">
        <v>23</v>
      </c>
      <c r="W214" s="55" t="s">
        <v>1402</v>
      </c>
      <c r="X214" s="112"/>
    </row>
    <row r="215" spans="2:24" ht="15.75" x14ac:dyDescent="0.25">
      <c r="B215" s="71">
        <v>44293</v>
      </c>
      <c r="C215" s="71" t="str">
        <f>TEXT(VEND[[#This Row],[Fecha de Envío
Cotización]],"mmmm")</f>
        <v>abril</v>
      </c>
      <c r="D215" s="66" t="s">
        <v>944</v>
      </c>
      <c r="E215" s="125" t="s">
        <v>42</v>
      </c>
      <c r="F215" s="125" t="str">
        <f>IF(VEND[[#This Row],[STATUS]]="PERDIDO","N/A","En espera")</f>
        <v>N/A</v>
      </c>
      <c r="G215" s="125" t="str">
        <f>TEXT(VEND[[#This Row],[Fecha Recibe
O.C]],"mmmm")</f>
        <v>N/A</v>
      </c>
      <c r="H215" s="112">
        <v>362915</v>
      </c>
      <c r="I215" s="112" t="s">
        <v>129</v>
      </c>
      <c r="J215" s="112"/>
      <c r="K215" s="58">
        <v>1</v>
      </c>
      <c r="L215" s="123">
        <v>36.4</v>
      </c>
      <c r="M215" s="112" t="s">
        <v>16</v>
      </c>
      <c r="N215" s="112">
        <v>21</v>
      </c>
      <c r="O215" s="212" t="str">
        <f>IF(VEND[[#This Row],[STATUS]]="O.C",(VEND[[#This Row],[Fecha Recibe
O.C]]+VEND[[#This Row],[Dias
entrega ]]),"")</f>
        <v/>
      </c>
      <c r="P215" s="212"/>
      <c r="Q215" s="58" t="str">
        <f>IFERROR(VEND[[#This Row],[Fecha de Despacho]]-VEND[[#This Row],[Fecha Estimada de Entrega a  Cliente]],"")</f>
        <v/>
      </c>
      <c r="R2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5" s="112" t="str">
        <f>IF(VEND[[#This Row],[STATUS]]="O.C","APROBADO",IF(VEND[[#This Row],[STATUS]]="PERDIDO","PERDIDO",IF(VEND[[#This Row],[STATUS]]="EN ESPERA","EN ESPERA")))</f>
        <v>PERDIDO</v>
      </c>
      <c r="T215" s="112" t="str">
        <f>IF(VEND[[#This Row],[STATUS]]="O.C","APROBADO",IF(VEND[[#This Row],[STATUS]]="PERDIDO","PERDIDO",IF(VEND[[#This Row],[STATUS]]="EN ESPERA","EN ESPERA")))</f>
        <v>PERDIDO</v>
      </c>
      <c r="U215" s="112" t="s">
        <v>23</v>
      </c>
      <c r="V215" s="112" t="s">
        <v>23</v>
      </c>
      <c r="W215" s="55" t="s">
        <v>1402</v>
      </c>
      <c r="X215" s="112"/>
    </row>
    <row r="216" spans="2:24" ht="15.75" x14ac:dyDescent="0.25">
      <c r="B216" s="232">
        <v>44293</v>
      </c>
      <c r="C216" s="71" t="str">
        <f>TEXT(VEND[[#This Row],[Fecha de Envío
Cotización]],"mmmm")</f>
        <v>abril</v>
      </c>
      <c r="D216" s="66" t="s">
        <v>1163</v>
      </c>
      <c r="E216" s="125" t="s">
        <v>83</v>
      </c>
      <c r="F216" s="93">
        <v>44299</v>
      </c>
      <c r="G216" s="93" t="str">
        <f>TEXT(VEND[[#This Row],[Fecha Recibe
O.C]],"mmmm")</f>
        <v>abril</v>
      </c>
      <c r="H216" s="112" t="s">
        <v>1224</v>
      </c>
      <c r="I216" s="112" t="s">
        <v>1241</v>
      </c>
      <c r="J216" s="112"/>
      <c r="K216" s="58">
        <v>2</v>
      </c>
      <c r="L216" s="123">
        <v>9529</v>
      </c>
      <c r="M216" s="112" t="s">
        <v>15</v>
      </c>
      <c r="N216" s="112">
        <v>14</v>
      </c>
      <c r="O216" s="212">
        <f>IF(VEND[[#This Row],[STATUS]]="O.C",(VEND[[#This Row],[Fecha Recibe
O.C]]+VEND[[#This Row],[Dias
entrega ]]),"")</f>
        <v>44313</v>
      </c>
      <c r="P216" s="212">
        <v>44355</v>
      </c>
      <c r="Q216" s="58">
        <f>IFERROR(VEND[[#This Row],[Fecha de Despacho]]-VEND[[#This Row],[Fecha Estimada de Entrega a  Cliente]],"")</f>
        <v>42</v>
      </c>
      <c r="R2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16" s="112" t="str">
        <f>IF(VEND[[#This Row],[STATUS]]="O.C","APROBADO",IF(VEND[[#This Row],[STATUS]]="PERDIDO","PERDIDO",IF(VEND[[#This Row],[STATUS]]="EN ESPERA","EN ESPERA")))</f>
        <v>APROBADO</v>
      </c>
      <c r="T216" s="112" t="str">
        <f>IF(VEND[[#This Row],[STATUS]]="O.C","APROBADO",IF(VEND[[#This Row],[STATUS]]="PERDIDO","PERDIDO",IF(VEND[[#This Row],[STATUS]]="EN ESPERA","EN ESPERA")))</f>
        <v>APROBADO</v>
      </c>
      <c r="U216" s="55" t="s">
        <v>45</v>
      </c>
      <c r="V216" s="55" t="s">
        <v>46</v>
      </c>
      <c r="W216" s="55" t="s">
        <v>1409</v>
      </c>
      <c r="X216" s="112" t="s">
        <v>1996</v>
      </c>
    </row>
    <row r="217" spans="2:24" ht="15.75" x14ac:dyDescent="0.25">
      <c r="B217" s="232">
        <v>44293</v>
      </c>
      <c r="C217" s="71" t="str">
        <f>TEXT(VEND[[#This Row],[Fecha de Envío
Cotización]],"mmmm")</f>
        <v>abril</v>
      </c>
      <c r="D217" s="66" t="s">
        <v>1163</v>
      </c>
      <c r="E217" s="125" t="s">
        <v>83</v>
      </c>
      <c r="F217" s="93">
        <v>44302</v>
      </c>
      <c r="G217" s="93" t="str">
        <f>TEXT(VEND[[#This Row],[Fecha Recibe
O.C]],"mmmm")</f>
        <v>abril</v>
      </c>
      <c r="H217" s="112" t="s">
        <v>1225</v>
      </c>
      <c r="I217" s="112" t="s">
        <v>1241</v>
      </c>
      <c r="J217" s="112"/>
      <c r="K217" s="58">
        <v>3</v>
      </c>
      <c r="L217" s="123">
        <v>515.20000000000005</v>
      </c>
      <c r="M217" s="61">
        <v>44257</v>
      </c>
      <c r="N217" s="112">
        <v>28</v>
      </c>
      <c r="O217" s="212">
        <f>IF(VEND[[#This Row],[STATUS]]="O.C",(VEND[[#This Row],[Fecha Recibe
O.C]]+VEND[[#This Row],[Dias
entrega ]]),"")</f>
        <v>44330</v>
      </c>
      <c r="P217" s="212">
        <v>44357</v>
      </c>
      <c r="Q217" s="58">
        <f>IFERROR(VEND[[#This Row],[Fecha de Despacho]]-VEND[[#This Row],[Fecha Estimada de Entrega a  Cliente]],"")</f>
        <v>27</v>
      </c>
      <c r="R2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17" s="112" t="str">
        <f>IF(VEND[[#This Row],[STATUS]]="O.C","APROBADO",IF(VEND[[#This Row],[STATUS]]="PERDIDO","PERDIDO",IF(VEND[[#This Row],[STATUS]]="EN ESPERA","EN ESPERA")))</f>
        <v>APROBADO</v>
      </c>
      <c r="T217" s="112" t="str">
        <f>IF(VEND[[#This Row],[STATUS]]="O.C","APROBADO",IF(VEND[[#This Row],[STATUS]]="PERDIDO","PERDIDO",IF(VEND[[#This Row],[STATUS]]="EN ESPERA","EN ESPERA")))</f>
        <v>APROBADO</v>
      </c>
      <c r="U217" s="55" t="s">
        <v>46</v>
      </c>
      <c r="V217" s="55" t="s">
        <v>46</v>
      </c>
      <c r="W217" s="55" t="s">
        <v>1409</v>
      </c>
      <c r="X217" s="59" t="s">
        <v>2017</v>
      </c>
    </row>
    <row r="218" spans="2:24" ht="15.75" x14ac:dyDescent="0.25">
      <c r="B218" s="71">
        <v>44293</v>
      </c>
      <c r="C218" s="71" t="str">
        <f>TEXT(VEND[[#This Row],[Fecha de Envío
Cotización]],"mmmm")</f>
        <v>abril</v>
      </c>
      <c r="D218" s="66" t="s">
        <v>1163</v>
      </c>
      <c r="E218" s="125" t="s">
        <v>42</v>
      </c>
      <c r="F218" s="115" t="str">
        <f>IF(VEND[[#This Row],[STATUS]]="PERDIDO","N/A","En espera")</f>
        <v>N/A</v>
      </c>
      <c r="G218" s="125" t="str">
        <f>TEXT(VEND[[#This Row],[Fecha Recibe
O.C]],"mmmm")</f>
        <v>N/A</v>
      </c>
      <c r="H218" s="112" t="s">
        <v>1672</v>
      </c>
      <c r="I218" s="112" t="s">
        <v>1241</v>
      </c>
      <c r="J218" s="112"/>
      <c r="K218" s="58">
        <v>1</v>
      </c>
      <c r="L218" s="123">
        <v>98.92</v>
      </c>
      <c r="M218" s="112"/>
      <c r="N218" s="112"/>
      <c r="O218" s="212" t="str">
        <f>IF(VEND[[#This Row],[STATUS]]="O.C",(VEND[[#This Row],[Fecha Recibe
O.C]]+VEND[[#This Row],[Dias
entrega ]]),"")</f>
        <v/>
      </c>
      <c r="P218" s="212"/>
      <c r="Q218" s="58" t="str">
        <f>IFERROR(VEND[[#This Row],[Fecha de Despacho]]-VEND[[#This Row],[Fecha Estimada de Entrega a  Cliente]],"")</f>
        <v/>
      </c>
      <c r="R2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8" s="112" t="str">
        <f>IF(VEND[[#This Row],[STATUS]]="O.C","APROBADO",IF(VEND[[#This Row],[STATUS]]="PERDIDO","PERDIDO",IF(VEND[[#This Row],[STATUS]]="EN ESPERA","EN ESPERA")))</f>
        <v>PERDIDO</v>
      </c>
      <c r="T218" s="112" t="str">
        <f>IF(VEND[[#This Row],[STATUS]]="O.C","APROBADO",IF(VEND[[#This Row],[STATUS]]="PERDIDO","PERDIDO",IF(VEND[[#This Row],[STATUS]]="EN ESPERA","EN ESPERA")))</f>
        <v>PERDIDO</v>
      </c>
      <c r="U218" s="55"/>
      <c r="V218" s="55"/>
      <c r="W218" s="55" t="s">
        <v>1409</v>
      </c>
      <c r="X218" s="112"/>
    </row>
    <row r="219" spans="2:24" ht="15.75" x14ac:dyDescent="0.25">
      <c r="B219" s="71">
        <v>44293</v>
      </c>
      <c r="C219" s="71" t="str">
        <f>TEXT(VEND[[#This Row],[Fecha de Envío
Cotización]],"mmmm")</f>
        <v>abril</v>
      </c>
      <c r="D219" s="66" t="s">
        <v>1163</v>
      </c>
      <c r="E219" s="125" t="s">
        <v>42</v>
      </c>
      <c r="F219" s="115" t="str">
        <f>IF(VEND[[#This Row],[STATUS]]="PERDIDO","N/A","En espera")</f>
        <v>N/A</v>
      </c>
      <c r="G219" s="125" t="str">
        <f>TEXT(VEND[[#This Row],[Fecha Recibe
O.C]],"mmmm")</f>
        <v>N/A</v>
      </c>
      <c r="H219" s="112" t="s">
        <v>1227</v>
      </c>
      <c r="I219" s="112" t="s">
        <v>1241</v>
      </c>
      <c r="J219" s="112"/>
      <c r="K219" s="58">
        <v>1</v>
      </c>
      <c r="L219" s="123">
        <v>1920</v>
      </c>
      <c r="M219" s="112"/>
      <c r="N219" s="112"/>
      <c r="O219" s="212" t="str">
        <f>IF(VEND[[#This Row],[STATUS]]="O.C",(VEND[[#This Row],[Fecha Recibe
O.C]]+VEND[[#This Row],[Dias
entrega ]]),"")</f>
        <v/>
      </c>
      <c r="P219" s="212"/>
      <c r="Q219" s="58" t="str">
        <f>IFERROR(VEND[[#This Row],[Fecha de Despacho]]-VEND[[#This Row],[Fecha Estimada de Entrega a  Cliente]],"")</f>
        <v/>
      </c>
      <c r="R2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19" s="112" t="str">
        <f>IF(VEND[[#This Row],[STATUS]]="O.C","APROBADO",IF(VEND[[#This Row],[STATUS]]="PERDIDO","PERDIDO",IF(VEND[[#This Row],[STATUS]]="EN ESPERA","EN ESPERA")))</f>
        <v>PERDIDO</v>
      </c>
      <c r="T219" s="112" t="str">
        <f>IF(VEND[[#This Row],[STATUS]]="O.C","APROBADO",IF(VEND[[#This Row],[STATUS]]="PERDIDO","PERDIDO",IF(VEND[[#This Row],[STATUS]]="EN ESPERA","EN ESPERA")))</f>
        <v>PERDIDO</v>
      </c>
      <c r="U219" s="55" t="s">
        <v>23</v>
      </c>
      <c r="V219" s="55" t="s">
        <v>23</v>
      </c>
      <c r="W219" s="55" t="s">
        <v>1409</v>
      </c>
      <c r="X219" s="112"/>
    </row>
    <row r="220" spans="2:24" s="38" customFormat="1" ht="15.75" x14ac:dyDescent="0.25">
      <c r="B220" s="232">
        <v>44293</v>
      </c>
      <c r="C220" s="71" t="str">
        <f>TEXT(VEND[[#This Row],[Fecha de Envío
Cotización]],"mmmm")</f>
        <v>abril</v>
      </c>
      <c r="D220" s="66" t="s">
        <v>1163</v>
      </c>
      <c r="E220" s="125" t="s">
        <v>83</v>
      </c>
      <c r="F220" s="115">
        <v>44298</v>
      </c>
      <c r="G220" s="125" t="str">
        <f>TEXT(VEND[[#This Row],[Fecha Recibe
O.C]],"mmmm")</f>
        <v>abril</v>
      </c>
      <c r="H220" s="112" t="s">
        <v>1465</v>
      </c>
      <c r="I220" s="112" t="s">
        <v>1241</v>
      </c>
      <c r="J220" s="112"/>
      <c r="K220" s="58">
        <v>1</v>
      </c>
      <c r="L220" s="123">
        <v>247.5</v>
      </c>
      <c r="M220" s="112"/>
      <c r="N220" s="112"/>
      <c r="O220" s="212">
        <f>IF(VEND[[#This Row],[STATUS]]="O.C",(VEND[[#This Row],[Fecha Recibe
O.C]]+VEND[[#This Row],[Dias
entrega ]]),"")</f>
        <v>44298</v>
      </c>
      <c r="P220" s="212"/>
      <c r="Q220" s="58">
        <f>IFERROR(VEND[[#This Row],[Fecha de Despacho]]-VEND[[#This Row],[Fecha Estimada de Entrega a  Cliente]],"")</f>
        <v>-44298</v>
      </c>
      <c r="R2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0" s="112" t="str">
        <f>IF(VEND[[#This Row],[STATUS]]="O.C","APROBADO",IF(VEND[[#This Row],[STATUS]]="PERDIDO","PERDIDO",IF(VEND[[#This Row],[STATUS]]="EN ESPERA","EN ESPERA")))</f>
        <v>APROBADO</v>
      </c>
      <c r="T220" s="112" t="str">
        <f>IF(VEND[[#This Row],[STATUS]]="O.C","APROBADO",IF(VEND[[#This Row],[STATUS]]="PERDIDO","PERDIDO",IF(VEND[[#This Row],[STATUS]]="EN ESPERA","EN ESPERA")))</f>
        <v>APROBADO</v>
      </c>
      <c r="U220" s="55"/>
      <c r="V220" s="55"/>
      <c r="W220" s="55" t="s">
        <v>1409</v>
      </c>
      <c r="X220" s="112" t="s">
        <v>2422</v>
      </c>
    </row>
    <row r="221" spans="2:24" ht="15.75" x14ac:dyDescent="0.25">
      <c r="B221" s="71">
        <v>44294</v>
      </c>
      <c r="C221" s="71" t="str">
        <f>TEXT(VEND[[#This Row],[Fecha de Envío
Cotización]],"mmmm")</f>
        <v>abril</v>
      </c>
      <c r="D221" s="66" t="s">
        <v>41</v>
      </c>
      <c r="E221" s="125" t="s">
        <v>42</v>
      </c>
      <c r="F221" s="92" t="str">
        <f>IF(VEND[[#This Row],[STATUS]]="PERDIDO","N/A","En espera")</f>
        <v>N/A</v>
      </c>
      <c r="G221" s="125" t="str">
        <f>TEXT(VEND[[#This Row],[Fecha Recibe
O.C]],"mmmm")</f>
        <v>N/A</v>
      </c>
      <c r="H221" s="112">
        <v>1810</v>
      </c>
      <c r="I221" s="112" t="s">
        <v>115</v>
      </c>
      <c r="J221" s="112"/>
      <c r="K221" s="58">
        <v>1</v>
      </c>
      <c r="L221" s="123">
        <v>3418</v>
      </c>
      <c r="M221" s="112" t="s">
        <v>73</v>
      </c>
      <c r="N221" s="112">
        <v>14</v>
      </c>
      <c r="O221" s="212" t="str">
        <f>IF(VEND[[#This Row],[STATUS]]="O.C",(VEND[[#This Row],[Fecha Recibe
O.C]]+VEND[[#This Row],[Dias
entrega ]]),"")</f>
        <v/>
      </c>
      <c r="P221" s="212"/>
      <c r="Q221" s="58" t="str">
        <f>IFERROR(VEND[[#This Row],[Fecha de Despacho]]-VEND[[#This Row],[Fecha Estimada de Entrega a  Cliente]],"")</f>
        <v/>
      </c>
      <c r="R2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1" s="112" t="str">
        <f>IF(VEND[[#This Row],[STATUS]]="O.C","APROBADO",IF(VEND[[#This Row],[STATUS]]="PERDIDO","PERDIDO",IF(VEND[[#This Row],[STATUS]]="EN ESPERA","EN ESPERA")))</f>
        <v>PERDIDO</v>
      </c>
      <c r="T221" s="112" t="str">
        <f>IF(VEND[[#This Row],[STATUS]]="O.C","APROBADO",IF(VEND[[#This Row],[STATUS]]="PERDIDO","PERDIDO",IF(VEND[[#This Row],[STATUS]]="EN ESPERA","EN ESPERA")))</f>
        <v>PERDIDO</v>
      </c>
      <c r="U221" s="55" t="s">
        <v>23</v>
      </c>
      <c r="V221" s="55" t="s">
        <v>23</v>
      </c>
      <c r="W221" s="55" t="s">
        <v>1402</v>
      </c>
      <c r="X221" s="112"/>
    </row>
    <row r="222" spans="2:24" s="105" customFormat="1" ht="15.75" x14ac:dyDescent="0.25">
      <c r="B222" s="71">
        <v>44294</v>
      </c>
      <c r="C222" s="71" t="str">
        <f>TEXT(VEND[[#This Row],[Fecha de Envío
Cotización]],"mmmm")</f>
        <v>abril</v>
      </c>
      <c r="D222" s="66" t="s">
        <v>41</v>
      </c>
      <c r="E222" s="125" t="s">
        <v>42</v>
      </c>
      <c r="F222" s="125" t="str">
        <f>IF(VEND[[#This Row],[STATUS]]="PERDIDO","N/A","En espera")</f>
        <v>N/A</v>
      </c>
      <c r="G222" s="125" t="str">
        <f>TEXT(VEND[[#This Row],[Fecha Recibe
O.C]],"mmmm")</f>
        <v>N/A</v>
      </c>
      <c r="H222" s="112">
        <v>1811</v>
      </c>
      <c r="I222" s="112" t="s">
        <v>40</v>
      </c>
      <c r="J222" s="112"/>
      <c r="K222" s="58">
        <v>1</v>
      </c>
      <c r="L222" s="123">
        <v>238</v>
      </c>
      <c r="M222" s="112" t="s">
        <v>73</v>
      </c>
      <c r="N222" s="112">
        <v>14</v>
      </c>
      <c r="O222" s="212" t="str">
        <f>IF(VEND[[#This Row],[STATUS]]="O.C",(VEND[[#This Row],[Fecha Recibe
O.C]]+VEND[[#This Row],[Dias
entrega ]]),"")</f>
        <v/>
      </c>
      <c r="P222" s="212"/>
      <c r="Q222" s="58" t="str">
        <f>IFERROR(VEND[[#This Row],[Fecha de Despacho]]-VEND[[#This Row],[Fecha Estimada de Entrega a  Cliente]],"")</f>
        <v/>
      </c>
      <c r="R2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2" s="112" t="str">
        <f>IF(VEND[[#This Row],[STATUS]]="O.C","APROBADO",IF(VEND[[#This Row],[STATUS]]="PERDIDO","PERDIDO",IF(VEND[[#This Row],[STATUS]]="EN ESPERA","EN ESPERA")))</f>
        <v>PERDIDO</v>
      </c>
      <c r="T222" s="112" t="str">
        <f>IF(VEND[[#This Row],[STATUS]]="O.C","APROBADO",IF(VEND[[#This Row],[STATUS]]="PERDIDO","PERDIDO",IF(VEND[[#This Row],[STATUS]]="EN ESPERA","EN ESPERA")))</f>
        <v>PERDIDO</v>
      </c>
      <c r="U222" s="112" t="s">
        <v>23</v>
      </c>
      <c r="V222" s="112" t="s">
        <v>23</v>
      </c>
      <c r="W222" s="112" t="s">
        <v>1401</v>
      </c>
      <c r="X222" s="112"/>
    </row>
    <row r="223" spans="2:24" s="105" customFormat="1" ht="15.75" x14ac:dyDescent="0.25">
      <c r="B223" s="71">
        <v>44294</v>
      </c>
      <c r="C223" s="71" t="str">
        <f>TEXT(VEND[[#This Row],[Fecha de Envío
Cotización]],"mmmm")</f>
        <v>abril</v>
      </c>
      <c r="D223" s="66" t="s">
        <v>50</v>
      </c>
      <c r="E223" s="125" t="s">
        <v>42</v>
      </c>
      <c r="F223" s="115" t="str">
        <f>IF(VEND[[#This Row],[STATUS]]="PERDIDO","N/A","En espera")</f>
        <v>N/A</v>
      </c>
      <c r="G223" s="125" t="str">
        <f>TEXT(VEND[[#This Row],[Fecha Recibe
O.C]],"mmmm")</f>
        <v>N/A</v>
      </c>
      <c r="H223" s="112">
        <v>20177</v>
      </c>
      <c r="I223" s="112" t="s">
        <v>109</v>
      </c>
      <c r="J223" s="112"/>
      <c r="K223" s="58">
        <v>1</v>
      </c>
      <c r="L223" s="123">
        <v>5194.96</v>
      </c>
      <c r="M223" s="112" t="s">
        <v>108</v>
      </c>
      <c r="N223" s="112">
        <v>56</v>
      </c>
      <c r="O223" s="212" t="str">
        <f>IF(VEND[[#This Row],[STATUS]]="O.C",(VEND[[#This Row],[Fecha Recibe
O.C]]+VEND[[#This Row],[Dias
entrega ]]),"")</f>
        <v/>
      </c>
      <c r="P223" s="212"/>
      <c r="Q223" s="58" t="str">
        <f>IFERROR(VEND[[#This Row],[Fecha de Despacho]]-VEND[[#This Row],[Fecha Estimada de Entrega a  Cliente]],"")</f>
        <v/>
      </c>
      <c r="R2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3" s="112" t="str">
        <f>IF(VEND[[#This Row],[STATUS]]="O.C","APROBADO",IF(VEND[[#This Row],[STATUS]]="PERDIDO","PERDIDO",IF(VEND[[#This Row],[STATUS]]="EN ESPERA","EN ESPERA")))</f>
        <v>PERDIDO</v>
      </c>
      <c r="T223" s="112" t="str">
        <f>IF(VEND[[#This Row],[STATUS]]="O.C","APROBADO",IF(VEND[[#This Row],[STATUS]]="PERDIDO","PERDIDO",IF(VEND[[#This Row],[STATUS]]="EN ESPERA","EN ESPERA")))</f>
        <v>PERDIDO</v>
      </c>
      <c r="U223" s="112" t="s">
        <v>23</v>
      </c>
      <c r="V223" s="112" t="s">
        <v>23</v>
      </c>
      <c r="W223" s="112" t="s">
        <v>1401</v>
      </c>
      <c r="X223" s="112"/>
    </row>
    <row r="224" spans="2:24" ht="15.75" x14ac:dyDescent="0.25">
      <c r="B224" s="71">
        <v>44294</v>
      </c>
      <c r="C224" s="71" t="str">
        <f>TEXT(VEND[[#This Row],[Fecha de Envío
Cotización]],"mmmm")</f>
        <v>abril</v>
      </c>
      <c r="D224" s="66" t="s">
        <v>1163</v>
      </c>
      <c r="E224" s="125" t="s">
        <v>42</v>
      </c>
      <c r="F224" s="125" t="str">
        <f>IF(VEND[[#This Row],[STATUS]]="PERDIDO","N/A","En espera")</f>
        <v>N/A</v>
      </c>
      <c r="G224" s="125" t="str">
        <f>TEXT(VEND[[#This Row],[Fecha Recibe
O.C]],"mmmm")</f>
        <v>N/A</v>
      </c>
      <c r="H224" s="112" t="s">
        <v>1229</v>
      </c>
      <c r="I224" s="112" t="s">
        <v>1241</v>
      </c>
      <c r="J224" s="112"/>
      <c r="K224" s="58">
        <v>4</v>
      </c>
      <c r="L224" s="123">
        <v>1438.73</v>
      </c>
      <c r="M224" s="112"/>
      <c r="N224" s="112"/>
      <c r="O224" s="212" t="str">
        <f>IF(VEND[[#This Row],[STATUS]]="O.C",(VEND[[#This Row],[Fecha Recibe
O.C]]+VEND[[#This Row],[Dias
entrega ]]),"")</f>
        <v/>
      </c>
      <c r="P224" s="212"/>
      <c r="Q224" s="58" t="str">
        <f>IFERROR(VEND[[#This Row],[Fecha de Despacho]]-VEND[[#This Row],[Fecha Estimada de Entrega a  Cliente]],"")</f>
        <v/>
      </c>
      <c r="R2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4" s="112" t="str">
        <f>IF(VEND[[#This Row],[STATUS]]="O.C","APROBADO",IF(VEND[[#This Row],[STATUS]]="PERDIDO","PERDIDO",IF(VEND[[#This Row],[STATUS]]="EN ESPERA","EN ESPERA")))</f>
        <v>PERDIDO</v>
      </c>
      <c r="T224" s="112" t="str">
        <f>IF(VEND[[#This Row],[STATUS]]="O.C","APROBADO",IF(VEND[[#This Row],[STATUS]]="PERDIDO","PERDIDO",IF(VEND[[#This Row],[STATUS]]="EN ESPERA","EN ESPERA")))</f>
        <v>PERDIDO</v>
      </c>
      <c r="U224" s="112" t="s">
        <v>23</v>
      </c>
      <c r="V224" s="112" t="s">
        <v>23</v>
      </c>
      <c r="W224" s="55" t="s">
        <v>1409</v>
      </c>
      <c r="X224" s="112"/>
    </row>
    <row r="225" spans="2:24" ht="15.75" x14ac:dyDescent="0.25">
      <c r="B225" s="232">
        <v>44294</v>
      </c>
      <c r="C225" s="71" t="str">
        <f>TEXT(VEND[[#This Row],[Fecha de Envío
Cotización]],"mmmm")</f>
        <v>abril</v>
      </c>
      <c r="D225" s="66" t="s">
        <v>1163</v>
      </c>
      <c r="E225" s="125" t="s">
        <v>83</v>
      </c>
      <c r="F225" s="93">
        <v>44302</v>
      </c>
      <c r="G225" s="93" t="str">
        <f>TEXT(VEND[[#This Row],[Fecha Recibe
O.C]],"mmmm")</f>
        <v>abril</v>
      </c>
      <c r="H225" s="112" t="s">
        <v>1230</v>
      </c>
      <c r="I225" s="112" t="s">
        <v>1241</v>
      </c>
      <c r="J225" s="112"/>
      <c r="K225" s="58">
        <v>1</v>
      </c>
      <c r="L225" s="123">
        <v>1650</v>
      </c>
      <c r="M225" s="112" t="s">
        <v>16</v>
      </c>
      <c r="N225" s="112">
        <v>21</v>
      </c>
      <c r="O225" s="212">
        <f>IF(VEND[[#This Row],[STATUS]]="O.C",(VEND[[#This Row],[Fecha Recibe
O.C]]+VEND[[#This Row],[Dias
entrega ]]),"")</f>
        <v>44323</v>
      </c>
      <c r="P225" s="212">
        <v>44355</v>
      </c>
      <c r="Q225" s="58">
        <f>IFERROR(VEND[[#This Row],[Fecha de Despacho]]-VEND[[#This Row],[Fecha Estimada de Entrega a  Cliente]],"")</f>
        <v>32</v>
      </c>
      <c r="R2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25" s="112" t="str">
        <f>IF(VEND[[#This Row],[STATUS]]="O.C","APROBADO",IF(VEND[[#This Row],[STATUS]]="PERDIDO","PERDIDO",IF(VEND[[#This Row],[STATUS]]="EN ESPERA","EN ESPERA")))</f>
        <v>APROBADO</v>
      </c>
      <c r="T225" s="112" t="str">
        <f>IF(VEND[[#This Row],[STATUS]]="O.C","APROBADO",IF(VEND[[#This Row],[STATUS]]="PERDIDO","PERDIDO",IF(VEND[[#This Row],[STATUS]]="EN ESPERA","EN ESPERA")))</f>
        <v>APROBADO</v>
      </c>
      <c r="U225" s="55" t="s">
        <v>45</v>
      </c>
      <c r="V225" s="55" t="s">
        <v>46</v>
      </c>
      <c r="W225" s="55" t="s">
        <v>1409</v>
      </c>
      <c r="X225" s="112" t="s">
        <v>1995</v>
      </c>
    </row>
    <row r="226" spans="2:24" ht="15.75" x14ac:dyDescent="0.25">
      <c r="B226" s="71">
        <v>44294</v>
      </c>
      <c r="C226" s="71" t="str">
        <f>TEXT(VEND[[#This Row],[Fecha de Envío
Cotización]],"mmmm")</f>
        <v>abril</v>
      </c>
      <c r="D226" s="66" t="s">
        <v>1163</v>
      </c>
      <c r="E226" s="125" t="s">
        <v>42</v>
      </c>
      <c r="F226" s="125" t="str">
        <f>IF(VEND[[#This Row],[STATUS]]="PERDIDO","N/A","En espera")</f>
        <v>N/A</v>
      </c>
      <c r="G226" s="125" t="str">
        <f>TEXT(VEND[[#This Row],[Fecha Recibe
O.C]],"mmmm")</f>
        <v>N/A</v>
      </c>
      <c r="H226" s="112" t="s">
        <v>1228</v>
      </c>
      <c r="I226" s="112" t="s">
        <v>1241</v>
      </c>
      <c r="J226" s="112"/>
      <c r="K226" s="58">
        <v>5</v>
      </c>
      <c r="L226" s="123">
        <v>839.73</v>
      </c>
      <c r="M226" s="112"/>
      <c r="N226" s="112"/>
      <c r="O226" s="212" t="str">
        <f>IF(VEND[[#This Row],[STATUS]]="O.C",(VEND[[#This Row],[Fecha Recibe
O.C]]+VEND[[#This Row],[Dias
entrega ]]),"")</f>
        <v/>
      </c>
      <c r="P226" s="212"/>
      <c r="Q226" s="58" t="str">
        <f>IFERROR(VEND[[#This Row],[Fecha de Despacho]]-VEND[[#This Row],[Fecha Estimada de Entrega a  Cliente]],"")</f>
        <v/>
      </c>
      <c r="R2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6" s="112" t="str">
        <f>IF(VEND[[#This Row],[STATUS]]="O.C","APROBADO",IF(VEND[[#This Row],[STATUS]]="PERDIDO","PERDIDO",IF(VEND[[#This Row],[STATUS]]="EN ESPERA","EN ESPERA")))</f>
        <v>PERDIDO</v>
      </c>
      <c r="T226" s="112" t="str">
        <f>IF(VEND[[#This Row],[STATUS]]="O.C","APROBADO",IF(VEND[[#This Row],[STATUS]]="PERDIDO","PERDIDO",IF(VEND[[#This Row],[STATUS]]="EN ESPERA","EN ESPERA")))</f>
        <v>PERDIDO</v>
      </c>
      <c r="U226" s="55" t="s">
        <v>23</v>
      </c>
      <c r="V226" s="55" t="s">
        <v>23</v>
      </c>
      <c r="W226" s="55" t="s">
        <v>1409</v>
      </c>
      <c r="X226" s="112"/>
    </row>
    <row r="227" spans="2:24" ht="15.75" x14ac:dyDescent="0.25">
      <c r="B227" s="71">
        <v>44294</v>
      </c>
      <c r="C227" s="71" t="str">
        <f>TEXT(VEND[[#This Row],[Fecha de Envío
Cotización]],"mmmm")</f>
        <v>abril</v>
      </c>
      <c r="D227" s="66" t="s">
        <v>68</v>
      </c>
      <c r="E227" s="92" t="s">
        <v>83</v>
      </c>
      <c r="F227" s="93">
        <v>44294</v>
      </c>
      <c r="G227" s="93" t="str">
        <f>TEXT(VEND[[#This Row],[Fecha Recibe
O.C]],"mmmm")</f>
        <v>abril</v>
      </c>
      <c r="H227" s="112" t="s">
        <v>121</v>
      </c>
      <c r="I227" s="55" t="s">
        <v>120</v>
      </c>
      <c r="J227" s="112"/>
      <c r="K227" s="58">
        <v>1</v>
      </c>
      <c r="L227" s="123">
        <v>100.08</v>
      </c>
      <c r="M227" s="55" t="s">
        <v>22</v>
      </c>
      <c r="N227" s="112">
        <v>0</v>
      </c>
      <c r="O227" s="212">
        <f>IF(VEND[[#This Row],[STATUS]]="O.C",(VEND[[#This Row],[Fecha Recibe
O.C]]+VEND[[#This Row],[Dias
entrega ]]),"")</f>
        <v>44294</v>
      </c>
      <c r="P227" s="212">
        <v>44294</v>
      </c>
      <c r="Q227" s="58">
        <f>IFERROR(VEND[[#This Row],[Fecha de Despacho]]-VEND[[#This Row],[Fecha Estimada de Entrega a  Cliente]],"")</f>
        <v>0</v>
      </c>
      <c r="R2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7" s="112" t="str">
        <f>IF(VEND[[#This Row],[STATUS]]="O.C","APROBADO",IF(VEND[[#This Row],[STATUS]]="PERDIDO","PERDIDO",IF(VEND[[#This Row],[STATUS]]="EN ESPERA","EN ESPERA")))</f>
        <v>APROBADO</v>
      </c>
      <c r="T227" s="112" t="str">
        <f>IF(VEND[[#This Row],[STATUS]]="O.C","APROBADO",IF(VEND[[#This Row],[STATUS]]="PERDIDO","PERDIDO",IF(VEND[[#This Row],[STATUS]]="EN ESPERA","EN ESPERA")))</f>
        <v>APROBADO</v>
      </c>
      <c r="U227" s="55" t="s">
        <v>45</v>
      </c>
      <c r="V227" s="55" t="s">
        <v>47</v>
      </c>
      <c r="W227" s="112" t="s">
        <v>1402</v>
      </c>
      <c r="X227" s="112"/>
    </row>
    <row r="228" spans="2:24" s="38" customFormat="1" ht="15.75" x14ac:dyDescent="0.25">
      <c r="B228" s="71">
        <v>44295</v>
      </c>
      <c r="C228" s="71" t="str">
        <f>TEXT(VEND[[#This Row],[Fecha de Envío
Cotización]],"mmmm")</f>
        <v>abril</v>
      </c>
      <c r="D228" s="66" t="s">
        <v>41</v>
      </c>
      <c r="E228" s="92" t="s">
        <v>42</v>
      </c>
      <c r="F228" s="125" t="str">
        <f>IF(VEND[[#This Row],[STATUS]]="PERDIDO","N/A","En espera")</f>
        <v>N/A</v>
      </c>
      <c r="G228" s="125" t="str">
        <f>TEXT(VEND[[#This Row],[Fecha Recibe
O.C]],"mmmm")</f>
        <v>N/A</v>
      </c>
      <c r="H228" s="112">
        <v>1813</v>
      </c>
      <c r="I228" s="112" t="s">
        <v>298</v>
      </c>
      <c r="J228" s="112"/>
      <c r="K228" s="58">
        <v>1</v>
      </c>
      <c r="L228" s="123">
        <v>272.39999999999998</v>
      </c>
      <c r="M228" s="112" t="s">
        <v>22</v>
      </c>
      <c r="N228" s="112">
        <v>0</v>
      </c>
      <c r="O228" s="212" t="str">
        <f>IF(VEND[[#This Row],[STATUS]]="O.C",(VEND[[#This Row],[Fecha Recibe
O.C]]+VEND[[#This Row],[Dias
entrega ]]),"")</f>
        <v/>
      </c>
      <c r="P228" s="212"/>
      <c r="Q228" s="58" t="str">
        <f>IFERROR(VEND[[#This Row],[Fecha de Despacho]]-VEND[[#This Row],[Fecha Estimada de Entrega a  Cliente]],"")</f>
        <v/>
      </c>
      <c r="R2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8" s="112" t="str">
        <f>IF(VEND[[#This Row],[STATUS]]="O.C","APROBADO",IF(VEND[[#This Row],[STATUS]]="PERDIDO","PERDIDO",IF(VEND[[#This Row],[STATUS]]="EN ESPERA","EN ESPERA")))</f>
        <v>PERDIDO</v>
      </c>
      <c r="T228" s="112" t="str">
        <f>IF(VEND[[#This Row],[STATUS]]="O.C","APROBADO",IF(VEND[[#This Row],[STATUS]]="PERDIDO","PERDIDO",IF(VEND[[#This Row],[STATUS]]="EN ESPERA","EN ESPERA")))</f>
        <v>PERDIDO</v>
      </c>
      <c r="U228" s="55" t="s">
        <v>23</v>
      </c>
      <c r="V228" s="55" t="s">
        <v>23</v>
      </c>
      <c r="W228" s="55" t="s">
        <v>1407</v>
      </c>
      <c r="X228" s="112"/>
    </row>
    <row r="229" spans="2:24" s="38" customFormat="1" ht="15.75" x14ac:dyDescent="0.25">
      <c r="B229" s="71">
        <v>44295</v>
      </c>
      <c r="C229" s="71" t="str">
        <f>TEXT(VEND[[#This Row],[Fecha de Envío
Cotización]],"mmmm")</f>
        <v>abril</v>
      </c>
      <c r="D229" s="66" t="s">
        <v>68</v>
      </c>
      <c r="E229" s="92" t="s">
        <v>42</v>
      </c>
      <c r="F229" s="125" t="str">
        <f>IF(VEND[[#This Row],[STATUS]]="PERDIDO","N/A","En espera")</f>
        <v>N/A</v>
      </c>
      <c r="G229" s="125" t="str">
        <f>TEXT(VEND[[#This Row],[Fecha Recibe
O.C]],"mmmm")</f>
        <v>N/A</v>
      </c>
      <c r="H229" s="112">
        <v>3960</v>
      </c>
      <c r="I229" s="112" t="s">
        <v>122</v>
      </c>
      <c r="J229" s="112"/>
      <c r="K229" s="58">
        <v>1</v>
      </c>
      <c r="L229" s="123">
        <v>1610.35</v>
      </c>
      <c r="M229" s="112" t="s">
        <v>104</v>
      </c>
      <c r="N229" s="112">
        <v>5</v>
      </c>
      <c r="O229" s="212" t="str">
        <f>IF(VEND[[#This Row],[STATUS]]="O.C",(VEND[[#This Row],[Fecha Recibe
O.C]]+VEND[[#This Row],[Dias
entrega ]]),"")</f>
        <v/>
      </c>
      <c r="P229" s="212"/>
      <c r="Q229" s="58" t="str">
        <f>IFERROR(VEND[[#This Row],[Fecha de Despacho]]-VEND[[#This Row],[Fecha Estimada de Entrega a  Cliente]],"")</f>
        <v/>
      </c>
      <c r="R2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29" s="112" t="str">
        <f>IF(VEND[[#This Row],[STATUS]]="O.C","APROBADO",IF(VEND[[#This Row],[STATUS]]="PERDIDO","PERDIDO",IF(VEND[[#This Row],[STATUS]]="EN ESPERA","EN ESPERA")))</f>
        <v>PERDIDO</v>
      </c>
      <c r="T229" s="112" t="str">
        <f>IF(VEND[[#This Row],[STATUS]]="O.C","APROBADO",IF(VEND[[#This Row],[STATUS]]="PERDIDO","PERDIDO",IF(VEND[[#This Row],[STATUS]]="EN ESPERA","EN ESPERA")))</f>
        <v>PERDIDO</v>
      </c>
      <c r="U229" s="55" t="s">
        <v>23</v>
      </c>
      <c r="V229" s="55" t="s">
        <v>23</v>
      </c>
      <c r="W229" s="55" t="s">
        <v>1402</v>
      </c>
      <c r="X229" s="112"/>
    </row>
    <row r="230" spans="2:24" s="38" customFormat="1" ht="15.75" x14ac:dyDescent="0.25">
      <c r="B230" s="71">
        <v>44295</v>
      </c>
      <c r="C230" s="71" t="str">
        <f>TEXT(VEND[[#This Row],[Fecha de Envío
Cotización]],"mmmm")</f>
        <v>abril</v>
      </c>
      <c r="D230" s="66" t="s">
        <v>50</v>
      </c>
      <c r="E230" s="92" t="s">
        <v>42</v>
      </c>
      <c r="F230" s="125" t="str">
        <f>IF(VEND[[#This Row],[STATUS]]="PERDIDO","N/A","En espera")</f>
        <v>N/A</v>
      </c>
      <c r="G230" s="125" t="str">
        <f>TEXT(VEND[[#This Row],[Fecha Recibe
O.C]],"mmmm")</f>
        <v>N/A</v>
      </c>
      <c r="H230" s="112">
        <v>20180</v>
      </c>
      <c r="I230" s="112" t="s">
        <v>33</v>
      </c>
      <c r="J230" s="112"/>
      <c r="K230" s="58">
        <v>1</v>
      </c>
      <c r="L230" s="123">
        <v>350.7</v>
      </c>
      <c r="M230" s="112" t="s">
        <v>36</v>
      </c>
      <c r="N230" s="112">
        <v>28</v>
      </c>
      <c r="O230" s="212" t="str">
        <f>IF(VEND[[#This Row],[STATUS]]="O.C",(VEND[[#This Row],[Fecha Recibe
O.C]]+VEND[[#This Row],[Dias
entrega ]]),"")</f>
        <v/>
      </c>
      <c r="P230" s="212"/>
      <c r="Q230" s="58" t="str">
        <f>IFERROR(VEND[[#This Row],[Fecha de Despacho]]-VEND[[#This Row],[Fecha Estimada de Entrega a  Cliente]],"")</f>
        <v/>
      </c>
      <c r="R2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0" s="112" t="str">
        <f>IF(VEND[[#This Row],[STATUS]]="O.C","APROBADO",IF(VEND[[#This Row],[STATUS]]="PERDIDO","PERDIDO",IF(VEND[[#This Row],[STATUS]]="EN ESPERA","EN ESPERA")))</f>
        <v>PERDIDO</v>
      </c>
      <c r="T230" s="112" t="str">
        <f>IF(VEND[[#This Row],[STATUS]]="O.C","APROBADO",IF(VEND[[#This Row],[STATUS]]="PERDIDO","PERDIDO",IF(VEND[[#This Row],[STATUS]]="EN ESPERA","EN ESPERA")))</f>
        <v>PERDIDO</v>
      </c>
      <c r="U230" s="55" t="s">
        <v>23</v>
      </c>
      <c r="V230" s="55" t="s">
        <v>23</v>
      </c>
      <c r="W230" s="55" t="s">
        <v>1402</v>
      </c>
      <c r="X230" s="112"/>
    </row>
    <row r="231" spans="2:24" ht="15.75" x14ac:dyDescent="0.25">
      <c r="B231" s="71">
        <v>44295</v>
      </c>
      <c r="C231" s="71" t="str">
        <f>TEXT(VEND[[#This Row],[Fecha de Envío
Cotización]],"mmmm")</f>
        <v>abril</v>
      </c>
      <c r="D231" s="66" t="s">
        <v>50</v>
      </c>
      <c r="E231" s="92" t="s">
        <v>42</v>
      </c>
      <c r="F231" s="125" t="str">
        <f>IF(VEND[[#This Row],[STATUS]]="PERDIDO","N/A","En espera")</f>
        <v>N/A</v>
      </c>
      <c r="G231" s="125" t="str">
        <f>TEXT(VEND[[#This Row],[Fecha Recibe
O.C]],"mmmm")</f>
        <v>N/A</v>
      </c>
      <c r="H231" s="112">
        <v>20181</v>
      </c>
      <c r="I231" s="112" t="s">
        <v>116</v>
      </c>
      <c r="J231" s="112"/>
      <c r="K231" s="58">
        <v>1</v>
      </c>
      <c r="L231" s="123">
        <v>333.38</v>
      </c>
      <c r="M231" s="112" t="s">
        <v>16</v>
      </c>
      <c r="N231" s="112">
        <v>21</v>
      </c>
      <c r="O231" s="212" t="str">
        <f>IF(VEND[[#This Row],[STATUS]]="O.C",(VEND[[#This Row],[Fecha Recibe
O.C]]+VEND[[#This Row],[Dias
entrega ]]),"")</f>
        <v/>
      </c>
      <c r="P231" s="212"/>
      <c r="Q231" s="58" t="str">
        <f>IFERROR(VEND[[#This Row],[Fecha de Despacho]]-VEND[[#This Row],[Fecha Estimada de Entrega a  Cliente]],"")</f>
        <v/>
      </c>
      <c r="R2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1" s="112" t="str">
        <f>IF(VEND[[#This Row],[STATUS]]="O.C","APROBADO",IF(VEND[[#This Row],[STATUS]]="PERDIDO","PERDIDO",IF(VEND[[#This Row],[STATUS]]="EN ESPERA","EN ESPERA")))</f>
        <v>PERDIDO</v>
      </c>
      <c r="T231" s="112" t="str">
        <f>IF(VEND[[#This Row],[STATUS]]="O.C","APROBADO",IF(VEND[[#This Row],[STATUS]]="PERDIDO","PERDIDO",IF(VEND[[#This Row],[STATUS]]="EN ESPERA","EN ESPERA")))</f>
        <v>PERDIDO</v>
      </c>
      <c r="U231" s="55" t="s">
        <v>23</v>
      </c>
      <c r="V231" s="55" t="s">
        <v>23</v>
      </c>
      <c r="W231" s="55" t="s">
        <v>1401</v>
      </c>
      <c r="X231" s="112"/>
    </row>
    <row r="232" spans="2:24" ht="15.75" x14ac:dyDescent="0.25">
      <c r="B232" s="71">
        <v>44295</v>
      </c>
      <c r="C232" s="71" t="str">
        <f>TEXT(VEND[[#This Row],[Fecha de Envío
Cotización]],"mmmm")</f>
        <v>abril</v>
      </c>
      <c r="D232" s="66" t="s">
        <v>50</v>
      </c>
      <c r="E232" s="92" t="s">
        <v>83</v>
      </c>
      <c r="F232" s="125">
        <v>44327</v>
      </c>
      <c r="G232" s="125" t="str">
        <f>TEXT(VEND[[#This Row],[Fecha Recibe
O.C]],"mmmm")</f>
        <v>mayo</v>
      </c>
      <c r="H232" s="112">
        <v>20181</v>
      </c>
      <c r="I232" s="112" t="s">
        <v>33</v>
      </c>
      <c r="J232" s="88"/>
      <c r="K232" s="58">
        <v>4</v>
      </c>
      <c r="L232" s="123">
        <v>912</v>
      </c>
      <c r="M232" s="112" t="s">
        <v>16</v>
      </c>
      <c r="N232" s="112">
        <v>21</v>
      </c>
      <c r="O232" s="212">
        <f>IF(VEND[[#This Row],[STATUS]]="O.C",(VEND[[#This Row],[Fecha Recibe
O.C]]+VEND[[#This Row],[Dias
entrega ]]),"")</f>
        <v>44348</v>
      </c>
      <c r="P232" s="212">
        <v>44377</v>
      </c>
      <c r="Q232" s="58">
        <f>IFERROR(VEND[[#This Row],[Fecha de Despacho]]-VEND[[#This Row],[Fecha Estimada de Entrega a  Cliente]],"")</f>
        <v>29</v>
      </c>
      <c r="R2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32" s="112" t="str">
        <f>IF(VEND[[#This Row],[STATUS]]="O.C","APROBADO",IF(VEND[[#This Row],[STATUS]]="PERDIDO","PERDIDO",IF(VEND[[#This Row],[STATUS]]="EN ESPERA","EN ESPERA")))</f>
        <v>APROBADO</v>
      </c>
      <c r="T232" s="112" t="str">
        <f>IF(VEND[[#This Row],[STATUS]]="O.C","APROBADO",IF(VEND[[#This Row],[STATUS]]="PERDIDO","PERDIDO",IF(VEND[[#This Row],[STATUS]]="EN ESPERA","EN ESPERA")))</f>
        <v>APROBADO</v>
      </c>
      <c r="U232" s="55" t="s">
        <v>46</v>
      </c>
      <c r="V232" s="55" t="s">
        <v>46</v>
      </c>
      <c r="W232" s="55" t="s">
        <v>1402</v>
      </c>
      <c r="X232" s="112"/>
    </row>
    <row r="233" spans="2:24" ht="15.75" x14ac:dyDescent="0.25">
      <c r="B233" s="71">
        <v>44295</v>
      </c>
      <c r="C233" s="71" t="str">
        <f>TEXT(VEND[[#This Row],[Fecha de Envío
Cotización]],"mmmm")</f>
        <v>abril</v>
      </c>
      <c r="D233" s="66" t="s">
        <v>50</v>
      </c>
      <c r="E233" s="92" t="s">
        <v>42</v>
      </c>
      <c r="F233" s="125" t="str">
        <f>IF(VEND[[#This Row],[STATUS]]="PERDIDO","N/A","En espera")</f>
        <v>N/A</v>
      </c>
      <c r="G233" s="125" t="str">
        <f>TEXT(VEND[[#This Row],[Fecha Recibe
O.C]],"mmmm")</f>
        <v>N/A</v>
      </c>
      <c r="H233" s="112">
        <v>20183</v>
      </c>
      <c r="I233" s="112" t="s">
        <v>118</v>
      </c>
      <c r="J233" s="112"/>
      <c r="K233" s="58">
        <v>1</v>
      </c>
      <c r="L233" s="123">
        <v>536.95000000000005</v>
      </c>
      <c r="M233" s="112" t="s">
        <v>16</v>
      </c>
      <c r="N233" s="112">
        <v>21</v>
      </c>
      <c r="O233" s="212" t="str">
        <f>IF(VEND[[#This Row],[STATUS]]="O.C",(VEND[[#This Row],[Fecha Recibe
O.C]]+VEND[[#This Row],[Dias
entrega ]]),"")</f>
        <v/>
      </c>
      <c r="P233" s="212"/>
      <c r="Q233" s="58" t="str">
        <f>IFERROR(VEND[[#This Row],[Fecha de Despacho]]-VEND[[#This Row],[Fecha Estimada de Entrega a  Cliente]],"")</f>
        <v/>
      </c>
      <c r="R2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3" s="112" t="str">
        <f>IF(VEND[[#This Row],[STATUS]]="O.C","APROBADO",IF(VEND[[#This Row],[STATUS]]="PERDIDO","PERDIDO",IF(VEND[[#This Row],[STATUS]]="EN ESPERA","EN ESPERA")))</f>
        <v>PERDIDO</v>
      </c>
      <c r="T233" s="112" t="str">
        <f>IF(VEND[[#This Row],[STATUS]]="O.C","APROBADO",IF(VEND[[#This Row],[STATUS]]="PERDIDO","PERDIDO",IF(VEND[[#This Row],[STATUS]]="EN ESPERA","EN ESPERA")))</f>
        <v>PERDIDO</v>
      </c>
      <c r="U233" s="55" t="s">
        <v>23</v>
      </c>
      <c r="V233" s="55" t="s">
        <v>23</v>
      </c>
      <c r="W233" s="55" t="s">
        <v>1401</v>
      </c>
      <c r="X233" s="112"/>
    </row>
    <row r="234" spans="2:24" ht="15.75" x14ac:dyDescent="0.25">
      <c r="B234" s="71">
        <v>44295</v>
      </c>
      <c r="C234" s="71" t="str">
        <f>TEXT(VEND[[#This Row],[Fecha de Envío
Cotización]],"mmmm")</f>
        <v>abril</v>
      </c>
      <c r="D234" s="66" t="s">
        <v>68</v>
      </c>
      <c r="E234" s="92" t="s">
        <v>88</v>
      </c>
      <c r="F234" s="92" t="str">
        <f>IF(VEND[[#This Row],[STATUS]]="PERDIDO","N/A","En espera")</f>
        <v>En espera</v>
      </c>
      <c r="G234" s="125" t="str">
        <f>TEXT(VEND[[#This Row],[Fecha Recibe
O.C]],"mmmm")</f>
        <v>En espera</v>
      </c>
      <c r="H234" s="112">
        <v>38920</v>
      </c>
      <c r="I234" s="112" t="s">
        <v>96</v>
      </c>
      <c r="J234" s="112"/>
      <c r="K234" s="58">
        <v>3</v>
      </c>
      <c r="L234" s="123">
        <v>1122.57</v>
      </c>
      <c r="M234" s="112" t="s">
        <v>73</v>
      </c>
      <c r="N234" s="112">
        <v>14</v>
      </c>
      <c r="O234" s="212" t="str">
        <f>IF(VEND[[#This Row],[STATUS]]="O.C",(VEND[[#This Row],[Fecha Recibe
O.C]]+VEND[[#This Row],[Dias
entrega ]]),"")</f>
        <v/>
      </c>
      <c r="P234" s="212"/>
      <c r="Q234" s="58" t="str">
        <f>IFERROR(VEND[[#This Row],[Fecha de Despacho]]-VEND[[#This Row],[Fecha Estimada de Entrega a  Cliente]],"")</f>
        <v/>
      </c>
      <c r="R2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4" s="112" t="str">
        <f>IF(VEND[[#This Row],[STATUS]]="O.C","APROBADO",IF(VEND[[#This Row],[STATUS]]="PERDIDO","PERDIDO",IF(VEND[[#This Row],[STATUS]]="EN ESPERA","EN ESPERA")))</f>
        <v>EN ESPERA</v>
      </c>
      <c r="T234" s="112" t="str">
        <f>IF(VEND[[#This Row],[STATUS]]="O.C","APROBADO",IF(VEND[[#This Row],[STATUS]]="PERDIDO","PERDIDO",IF(VEND[[#This Row],[STATUS]]="EN ESPERA","EN ESPERA")))</f>
        <v>EN ESPERA</v>
      </c>
      <c r="U234" s="112" t="s">
        <v>23</v>
      </c>
      <c r="V234" s="112" t="s">
        <v>23</v>
      </c>
      <c r="W234" s="112" t="s">
        <v>1402</v>
      </c>
      <c r="X234" s="112"/>
    </row>
    <row r="235" spans="2:24" s="16" customFormat="1" ht="15.75" x14ac:dyDescent="0.25">
      <c r="B235" s="71">
        <v>44295</v>
      </c>
      <c r="C235" s="71" t="str">
        <f>TEXT(VEND[[#This Row],[Fecha de Envío
Cotización]],"mmmm")</f>
        <v>abril</v>
      </c>
      <c r="D235" s="66" t="s">
        <v>1163</v>
      </c>
      <c r="E235" s="125" t="s">
        <v>42</v>
      </c>
      <c r="F235" s="125" t="str">
        <f>IF(VEND[[#This Row],[STATUS]]="PERDIDO","N/A","En espera")</f>
        <v>N/A</v>
      </c>
      <c r="G235" s="125" t="str">
        <f>TEXT(VEND[[#This Row],[Fecha Recibe
O.C]],"mmmm")</f>
        <v>N/A</v>
      </c>
      <c r="H235" s="112" t="s">
        <v>1226</v>
      </c>
      <c r="I235" s="112" t="s">
        <v>1241</v>
      </c>
      <c r="J235" s="112"/>
      <c r="K235" s="58">
        <v>16</v>
      </c>
      <c r="L235" s="123">
        <v>6769.7</v>
      </c>
      <c r="M235" s="112"/>
      <c r="N235" s="112"/>
      <c r="O235" s="212" t="str">
        <f>IF(VEND[[#This Row],[STATUS]]="O.C",(VEND[[#This Row],[Fecha Recibe
O.C]]+VEND[[#This Row],[Dias
entrega ]]),"")</f>
        <v/>
      </c>
      <c r="P235" s="212"/>
      <c r="Q235" s="58" t="str">
        <f>IFERROR(VEND[[#This Row],[Fecha de Despacho]]-VEND[[#This Row],[Fecha Estimada de Entrega a  Cliente]],"")</f>
        <v/>
      </c>
      <c r="R2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5" s="112" t="str">
        <f>IF(VEND[[#This Row],[STATUS]]="O.C","APROBADO",IF(VEND[[#This Row],[STATUS]]="PERDIDO","PERDIDO",IF(VEND[[#This Row],[STATUS]]="EN ESPERA","EN ESPERA")))</f>
        <v>PERDIDO</v>
      </c>
      <c r="T235" s="112" t="str">
        <f>IF(VEND[[#This Row],[STATUS]]="O.C","APROBADO",IF(VEND[[#This Row],[STATUS]]="PERDIDO","PERDIDO",IF(VEND[[#This Row],[STATUS]]="EN ESPERA","EN ESPERA")))</f>
        <v>PERDIDO</v>
      </c>
      <c r="U235" s="112" t="s">
        <v>23</v>
      </c>
      <c r="V235" s="112" t="s">
        <v>23</v>
      </c>
      <c r="W235" s="112" t="s">
        <v>1409</v>
      </c>
      <c r="X235" s="112"/>
    </row>
    <row r="236" spans="2:24" ht="31.5" x14ac:dyDescent="0.25">
      <c r="B236" s="233">
        <v>44295</v>
      </c>
      <c r="C236" s="48" t="str">
        <f>TEXT(VEND[[#This Row],[Fecha de Envío
Cotización]],"mmmm")</f>
        <v>abril</v>
      </c>
      <c r="D236" s="7" t="s">
        <v>1163</v>
      </c>
      <c r="E236" s="97" t="s">
        <v>83</v>
      </c>
      <c r="F236" s="94">
        <v>44301</v>
      </c>
      <c r="G236" s="94" t="str">
        <f>TEXT(VEND[[#This Row],[Fecha Recibe
O.C]],"mmmm")</f>
        <v>abril</v>
      </c>
      <c r="H236" s="238" t="s">
        <v>1231</v>
      </c>
      <c r="I236" s="238" t="s">
        <v>1241</v>
      </c>
      <c r="J236" s="238"/>
      <c r="K236" s="62">
        <v>9</v>
      </c>
      <c r="L236" s="200">
        <v>1430</v>
      </c>
      <c r="M236" s="238"/>
      <c r="N236" s="112"/>
      <c r="O236" s="213">
        <f>IF(VEND[[#This Row],[STATUS]]="O.C",(VEND[[#This Row],[Fecha Recibe
O.C]]+VEND[[#This Row],[Dias
entrega ]]),"")</f>
        <v>44301</v>
      </c>
      <c r="P236" s="213"/>
      <c r="Q236" s="62">
        <f>IFERROR(VEND[[#This Row],[Fecha de Despacho]]-VEND[[#This Row],[Fecha Estimada de Entrega a  Cliente]],"")</f>
        <v>-44301</v>
      </c>
      <c r="R2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6" s="238" t="str">
        <f>IF(VEND[[#This Row],[STATUS]]="O.C","APROBADO",IF(VEND[[#This Row],[STATUS]]="PERDIDO","PERDIDO",IF(VEND[[#This Row],[STATUS]]="EN ESPERA","EN ESPERA")))</f>
        <v>APROBADO</v>
      </c>
      <c r="T236" s="238" t="str">
        <f>IF(VEND[[#This Row],[STATUS]]="O.C","APROBADO",IF(VEND[[#This Row],[STATUS]]="PERDIDO","PERDIDO",IF(VEND[[#This Row],[STATUS]]="EN ESPERA","EN ESPERA")))</f>
        <v>APROBADO</v>
      </c>
      <c r="U236" s="238" t="s">
        <v>46</v>
      </c>
      <c r="V236" s="238" t="s">
        <v>46</v>
      </c>
      <c r="W236" s="238" t="s">
        <v>1409</v>
      </c>
      <c r="X236" s="63" t="s">
        <v>2424</v>
      </c>
    </row>
    <row r="237" spans="2:24" ht="15.75" x14ac:dyDescent="0.25">
      <c r="B237" s="71">
        <v>44295</v>
      </c>
      <c r="C237" s="71" t="str">
        <f>TEXT(VEND[[#This Row],[Fecha de Envío
Cotización]],"mmmm")</f>
        <v>abril</v>
      </c>
      <c r="D237" s="66" t="s">
        <v>1163</v>
      </c>
      <c r="E237" s="92" t="s">
        <v>42</v>
      </c>
      <c r="F237" s="125" t="str">
        <f>IF(VEND[[#This Row],[STATUS]]="PERDIDO","N/A","En espera")</f>
        <v>N/A</v>
      </c>
      <c r="G237" s="125" t="str">
        <f>TEXT(VEND[[#This Row],[Fecha Recibe
O.C]],"mmmm")</f>
        <v>N/A</v>
      </c>
      <c r="H237" s="112" t="s">
        <v>1232</v>
      </c>
      <c r="I237" s="112" t="s">
        <v>1241</v>
      </c>
      <c r="J237" s="112"/>
      <c r="K237" s="58">
        <v>1</v>
      </c>
      <c r="L237" s="123">
        <v>535</v>
      </c>
      <c r="M237" s="112"/>
      <c r="N237" s="112"/>
      <c r="O237" s="212" t="str">
        <f>IF(VEND[[#This Row],[STATUS]]="O.C",(VEND[[#This Row],[Fecha Recibe
O.C]]+VEND[[#This Row],[Dias
entrega ]]),"")</f>
        <v/>
      </c>
      <c r="P237" s="212"/>
      <c r="Q237" s="58" t="str">
        <f>IFERROR(VEND[[#This Row],[Fecha de Despacho]]-VEND[[#This Row],[Fecha Estimada de Entrega a  Cliente]],"")</f>
        <v/>
      </c>
      <c r="R2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7" s="112" t="str">
        <f>IF(VEND[[#This Row],[STATUS]]="O.C","APROBADO",IF(VEND[[#This Row],[STATUS]]="PERDIDO","PERDIDO",IF(VEND[[#This Row],[STATUS]]="EN ESPERA","EN ESPERA")))</f>
        <v>PERDIDO</v>
      </c>
      <c r="T237" s="112" t="str">
        <f>IF(VEND[[#This Row],[STATUS]]="O.C","APROBADO",IF(VEND[[#This Row],[STATUS]]="PERDIDO","PERDIDO",IF(VEND[[#This Row],[STATUS]]="EN ESPERA","EN ESPERA")))</f>
        <v>PERDIDO</v>
      </c>
      <c r="U237" s="112" t="s">
        <v>23</v>
      </c>
      <c r="V237" s="112" t="s">
        <v>23</v>
      </c>
      <c r="W237" s="112" t="s">
        <v>1409</v>
      </c>
      <c r="X237" s="112"/>
    </row>
    <row r="238" spans="2:24" ht="15.75" x14ac:dyDescent="0.25">
      <c r="B238" s="71">
        <v>44295</v>
      </c>
      <c r="C238" s="71" t="str">
        <f>TEXT(VEND[[#This Row],[Fecha de Envío
Cotización]],"mmmm")</f>
        <v>abril</v>
      </c>
      <c r="D238" s="66" t="s">
        <v>1163</v>
      </c>
      <c r="E238" s="92" t="s">
        <v>42</v>
      </c>
      <c r="F238" s="125" t="str">
        <f>IF(VEND[[#This Row],[STATUS]]="PERDIDO","N/A","En espera")</f>
        <v>N/A</v>
      </c>
      <c r="G238" s="125" t="str">
        <f>TEXT(VEND[[#This Row],[Fecha Recibe
O.C]],"mmmm")</f>
        <v>N/A</v>
      </c>
      <c r="H238" s="112" t="s">
        <v>1233</v>
      </c>
      <c r="I238" s="112" t="s">
        <v>1241</v>
      </c>
      <c r="J238" s="112"/>
      <c r="K238" s="58">
        <v>1</v>
      </c>
      <c r="L238" s="123">
        <v>2244.6000000000004</v>
      </c>
      <c r="M238" s="112"/>
      <c r="N238" s="112"/>
      <c r="O238" s="212" t="str">
        <f>IF(VEND[[#This Row],[STATUS]]="O.C",(VEND[[#This Row],[Fecha Recibe
O.C]]+VEND[[#This Row],[Dias
entrega ]]),"")</f>
        <v/>
      </c>
      <c r="P238" s="212"/>
      <c r="Q238" s="58" t="str">
        <f>IFERROR(VEND[[#This Row],[Fecha de Despacho]]-VEND[[#This Row],[Fecha Estimada de Entrega a  Cliente]],"")</f>
        <v/>
      </c>
      <c r="R2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8" s="112" t="str">
        <f>IF(VEND[[#This Row],[STATUS]]="O.C","APROBADO",IF(VEND[[#This Row],[STATUS]]="PERDIDO","PERDIDO",IF(VEND[[#This Row],[STATUS]]="EN ESPERA","EN ESPERA")))</f>
        <v>PERDIDO</v>
      </c>
      <c r="T238" s="112" t="str">
        <f>IF(VEND[[#This Row],[STATUS]]="O.C","APROBADO",IF(VEND[[#This Row],[STATUS]]="PERDIDO","PERDIDO",IF(VEND[[#This Row],[STATUS]]="EN ESPERA","EN ESPERA")))</f>
        <v>PERDIDO</v>
      </c>
      <c r="U238" s="112" t="s">
        <v>23</v>
      </c>
      <c r="V238" s="112" t="s">
        <v>23</v>
      </c>
      <c r="W238" s="112" t="s">
        <v>1409</v>
      </c>
      <c r="X238" s="112"/>
    </row>
    <row r="239" spans="2:24" ht="15.75" x14ac:dyDescent="0.25">
      <c r="B239" s="71">
        <v>44298</v>
      </c>
      <c r="C239" s="71" t="str">
        <f>TEXT(VEND[[#This Row],[Fecha de Envío
Cotización]],"mmmm")</f>
        <v>abril</v>
      </c>
      <c r="D239" s="66" t="s">
        <v>945</v>
      </c>
      <c r="E239" s="115" t="s">
        <v>42</v>
      </c>
      <c r="F239" s="125" t="str">
        <f>IF(VEND[[#This Row],[STATUS]]="PERDIDO","N/A","En espera")</f>
        <v>N/A</v>
      </c>
      <c r="G239" s="125" t="str">
        <f>TEXT(VEND[[#This Row],[Fecha Recibe
O.C]],"mmmm")</f>
        <v>N/A</v>
      </c>
      <c r="H239" s="112">
        <v>20051</v>
      </c>
      <c r="I239" s="112" t="s">
        <v>31</v>
      </c>
      <c r="J239" s="112"/>
      <c r="K239" s="58">
        <v>1</v>
      </c>
      <c r="L239" s="123">
        <v>110</v>
      </c>
      <c r="M239" s="55" t="s">
        <v>22</v>
      </c>
      <c r="N239" s="112">
        <v>0</v>
      </c>
      <c r="O239" s="212" t="str">
        <f>IF(VEND[[#This Row],[STATUS]]="O.C",(VEND[[#This Row],[Fecha Recibe
O.C]]+VEND[[#This Row],[Dias
entrega ]]),"")</f>
        <v/>
      </c>
      <c r="P239" s="212"/>
      <c r="Q239" s="58" t="str">
        <f>IFERROR(VEND[[#This Row],[Fecha de Despacho]]-VEND[[#This Row],[Fecha Estimada de Entrega a  Cliente]],"")</f>
        <v/>
      </c>
      <c r="R2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39" s="55" t="str">
        <f>IF(VEND[[#This Row],[STATUS]]="O.C","APROBADO",IF(VEND[[#This Row],[STATUS]]="PERDIDO","PERDIDO",IF(VEND[[#This Row],[STATUS]]="EN ESPERA","EN ESPERA")))</f>
        <v>PERDIDO</v>
      </c>
      <c r="T239" s="55" t="str">
        <f>IF(VEND[[#This Row],[STATUS]]="O.C","APROBADO",IF(VEND[[#This Row],[STATUS]]="PERDIDO","PERDIDO",IF(VEND[[#This Row],[STATUS]]="EN ESPERA","EN ESPERA")))</f>
        <v>PERDIDO</v>
      </c>
      <c r="U239" s="55" t="s">
        <v>23</v>
      </c>
      <c r="V239" s="55" t="s">
        <v>23</v>
      </c>
      <c r="W239" s="55" t="s">
        <v>1410</v>
      </c>
      <c r="X239" s="112"/>
    </row>
    <row r="240" spans="2:24" ht="15.75" x14ac:dyDescent="0.25">
      <c r="B240" s="71">
        <v>44298</v>
      </c>
      <c r="C240" s="71" t="str">
        <f>TEXT(VEND[[#This Row],[Fecha de Envío
Cotización]],"mmmm")</f>
        <v>abril</v>
      </c>
      <c r="D240" s="66" t="s">
        <v>945</v>
      </c>
      <c r="E240" s="115" t="s">
        <v>88</v>
      </c>
      <c r="F240" s="115" t="str">
        <f>IF(VEND[[#This Row],[STATUS]]="PERDIDO","N/A","En espera")</f>
        <v>En espera</v>
      </c>
      <c r="G240" s="125" t="str">
        <f>TEXT(VEND[[#This Row],[Fecha Recibe
O.C]],"mmmm")</f>
        <v>En espera</v>
      </c>
      <c r="H240" s="112">
        <v>20052</v>
      </c>
      <c r="I240" s="112" t="s">
        <v>424</v>
      </c>
      <c r="J240" s="112"/>
      <c r="K240" s="58">
        <v>1</v>
      </c>
      <c r="L240" s="123">
        <v>372</v>
      </c>
      <c r="M240" s="55" t="s">
        <v>22</v>
      </c>
      <c r="N240" s="112">
        <v>0</v>
      </c>
      <c r="O240" s="212" t="str">
        <f>IF(VEND[[#This Row],[STATUS]]="O.C",(VEND[[#This Row],[Fecha Recibe
O.C]]+VEND[[#This Row],[Dias
entrega ]]),"")</f>
        <v/>
      </c>
      <c r="P240" s="212"/>
      <c r="Q240" s="58" t="str">
        <f>IFERROR(VEND[[#This Row],[Fecha de Despacho]]-VEND[[#This Row],[Fecha Estimada de Entrega a  Cliente]],"")</f>
        <v/>
      </c>
      <c r="R2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0" s="55" t="str">
        <f>IF(VEND[[#This Row],[STATUS]]="O.C","APROBADO",IF(VEND[[#This Row],[STATUS]]="PERDIDO","PERDIDO",IF(VEND[[#This Row],[STATUS]]="EN ESPERA","EN ESPERA")))</f>
        <v>EN ESPERA</v>
      </c>
      <c r="T240" s="55" t="str">
        <f>IF(VEND[[#This Row],[STATUS]]="O.C","APROBADO",IF(VEND[[#This Row],[STATUS]]="PERDIDO","PERDIDO",IF(VEND[[#This Row],[STATUS]]="EN ESPERA","EN ESPERA")))</f>
        <v>EN ESPERA</v>
      </c>
      <c r="U240" s="55" t="s">
        <v>23</v>
      </c>
      <c r="V240" s="55" t="s">
        <v>23</v>
      </c>
      <c r="W240" s="55" t="s">
        <v>1402</v>
      </c>
      <c r="X240" s="112"/>
    </row>
    <row r="241" spans="2:24" ht="15.75" x14ac:dyDescent="0.25">
      <c r="B241" s="71">
        <v>44298</v>
      </c>
      <c r="C241" s="71" t="str">
        <f>TEXT(VEND[[#This Row],[Fecha de Envío
Cotización]],"mmmm")</f>
        <v>abril</v>
      </c>
      <c r="D241" s="66" t="s">
        <v>944</v>
      </c>
      <c r="E241" s="115" t="s">
        <v>42</v>
      </c>
      <c r="F241" s="92" t="str">
        <f>IF(VEND[[#This Row],[STATUS]]="PERDIDO","N/A","En espera")</f>
        <v>N/A</v>
      </c>
      <c r="G241" s="125" t="str">
        <f>TEXT(VEND[[#This Row],[Fecha Recibe
O.C]],"mmmm")</f>
        <v>N/A</v>
      </c>
      <c r="H241" s="112">
        <v>35005</v>
      </c>
      <c r="I241" s="55" t="s">
        <v>329</v>
      </c>
      <c r="J241" s="112"/>
      <c r="K241" s="58">
        <v>5</v>
      </c>
      <c r="L241" s="123">
        <v>7113.73</v>
      </c>
      <c r="M241" s="55" t="s">
        <v>16</v>
      </c>
      <c r="N241" s="112">
        <v>21</v>
      </c>
      <c r="O241" s="212" t="str">
        <f>IF(VEND[[#This Row],[STATUS]]="O.C",(VEND[[#This Row],[Fecha Recibe
O.C]]+VEND[[#This Row],[Dias
entrega ]]),"")</f>
        <v/>
      </c>
      <c r="P241" s="212"/>
      <c r="Q241" s="58" t="str">
        <f>IFERROR(VEND[[#This Row],[Fecha de Despacho]]-VEND[[#This Row],[Fecha Estimada de Entrega a  Cliente]],"")</f>
        <v/>
      </c>
      <c r="R2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1" s="112" t="str">
        <f>IF(VEND[[#This Row],[STATUS]]="O.C","APROBADO",IF(VEND[[#This Row],[STATUS]]="PERDIDO","PERDIDO",IF(VEND[[#This Row],[STATUS]]="EN ESPERA","EN ESPERA")))</f>
        <v>PERDIDO</v>
      </c>
      <c r="T241" s="112" t="str">
        <f>IF(VEND[[#This Row],[STATUS]]="O.C","APROBADO",IF(VEND[[#This Row],[STATUS]]="PERDIDO","PERDIDO",IF(VEND[[#This Row],[STATUS]]="EN ESPERA","EN ESPERA")))</f>
        <v>PERDIDO</v>
      </c>
      <c r="U241" s="112" t="s">
        <v>23</v>
      </c>
      <c r="V241" s="112" t="s">
        <v>23</v>
      </c>
      <c r="W241" s="55" t="s">
        <v>1405</v>
      </c>
      <c r="X241" s="112"/>
    </row>
    <row r="242" spans="2:24" ht="15.75" x14ac:dyDescent="0.25">
      <c r="B242" s="71">
        <v>44298</v>
      </c>
      <c r="C242" s="71" t="str">
        <f>TEXT(VEND[[#This Row],[Fecha de Envío
Cotización]],"mmmm")</f>
        <v>abril</v>
      </c>
      <c r="D242" s="66" t="s">
        <v>41</v>
      </c>
      <c r="E242" s="115" t="s">
        <v>42</v>
      </c>
      <c r="F242" s="125" t="str">
        <f>IF(VEND[[#This Row],[STATUS]]="PERDIDO","N/A","En espera")</f>
        <v>N/A</v>
      </c>
      <c r="G242" s="125" t="str">
        <f>TEXT(VEND[[#This Row],[Fecha Recibe
O.C]],"mmmm")</f>
        <v>N/A</v>
      </c>
      <c r="H242" s="112">
        <v>36005</v>
      </c>
      <c r="I242" s="112" t="s">
        <v>76</v>
      </c>
      <c r="J242" s="112"/>
      <c r="K242" s="58">
        <v>1</v>
      </c>
      <c r="L242" s="123">
        <v>627.44000000000005</v>
      </c>
      <c r="M242" s="55" t="s">
        <v>16</v>
      </c>
      <c r="N242" s="112">
        <v>21</v>
      </c>
      <c r="O242" s="212" t="str">
        <f>IF(VEND[[#This Row],[STATUS]]="O.C",(VEND[[#This Row],[Fecha Recibe
O.C]]+VEND[[#This Row],[Dias
entrega ]]),"")</f>
        <v/>
      </c>
      <c r="P242" s="212"/>
      <c r="Q242" s="58" t="str">
        <f>IFERROR(VEND[[#This Row],[Fecha de Despacho]]-VEND[[#This Row],[Fecha Estimada de Entrega a  Cliente]],"")</f>
        <v/>
      </c>
      <c r="R2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2" s="112" t="str">
        <f>IF(VEND[[#This Row],[STATUS]]="O.C","APROBADO",IF(VEND[[#This Row],[STATUS]]="PERDIDO","PERDIDO",IF(VEND[[#This Row],[STATUS]]="EN ESPERA","EN ESPERA")))</f>
        <v>PERDIDO</v>
      </c>
      <c r="T242" s="112" t="str">
        <f>IF(VEND[[#This Row],[STATUS]]="O.C","APROBADO",IF(VEND[[#This Row],[STATUS]]="PERDIDO","PERDIDO",IF(VEND[[#This Row],[STATUS]]="EN ESPERA","EN ESPERA")))</f>
        <v>PERDIDO</v>
      </c>
      <c r="U242" s="112" t="s">
        <v>23</v>
      </c>
      <c r="V242" s="112" t="s">
        <v>23</v>
      </c>
      <c r="W242" s="55" t="s">
        <v>1402</v>
      </c>
      <c r="X242" s="112" t="s">
        <v>1699</v>
      </c>
    </row>
    <row r="243" spans="2:24" ht="15.75" x14ac:dyDescent="0.25">
      <c r="B243" s="71">
        <v>44298</v>
      </c>
      <c r="C243" s="71" t="str">
        <f>TEXT(VEND[[#This Row],[Fecha de Envío
Cotización]],"mmmm")</f>
        <v>abril</v>
      </c>
      <c r="D243" s="66" t="s">
        <v>68</v>
      </c>
      <c r="E243" s="115" t="s">
        <v>42</v>
      </c>
      <c r="F243" s="125" t="str">
        <f>IF(VEND[[#This Row],[STATUS]]="PERDIDO","N/A","En espera")</f>
        <v>N/A</v>
      </c>
      <c r="G243" s="125" t="str">
        <f>TEXT(VEND[[#This Row],[Fecha Recibe
O.C]],"mmmm")</f>
        <v>N/A</v>
      </c>
      <c r="H243" s="112">
        <v>39620</v>
      </c>
      <c r="I243" s="112" t="s">
        <v>139</v>
      </c>
      <c r="J243" s="112"/>
      <c r="K243" s="58">
        <v>1</v>
      </c>
      <c r="L243" s="123">
        <v>335.35</v>
      </c>
      <c r="M243" s="112" t="s">
        <v>140</v>
      </c>
      <c r="N243" s="112">
        <v>12</v>
      </c>
      <c r="O243" s="212" t="str">
        <f>IF(VEND[[#This Row],[STATUS]]="O.C",(VEND[[#This Row],[Fecha Recibe
O.C]]+VEND[[#This Row],[Dias
entrega ]]),"")</f>
        <v/>
      </c>
      <c r="P243" s="212"/>
      <c r="Q243" s="58" t="str">
        <f>IFERROR(VEND[[#This Row],[Fecha de Despacho]]-VEND[[#This Row],[Fecha Estimada de Entrega a  Cliente]],"")</f>
        <v/>
      </c>
      <c r="R2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3" s="112" t="str">
        <f>IF(VEND[[#This Row],[STATUS]]="O.C","APROBADO",IF(VEND[[#This Row],[STATUS]]="PERDIDO","PERDIDO",IF(VEND[[#This Row],[STATUS]]="EN ESPERA","EN ESPERA")))</f>
        <v>PERDIDO</v>
      </c>
      <c r="T243" s="112" t="str">
        <f>IF(VEND[[#This Row],[STATUS]]="O.C","APROBADO",IF(VEND[[#This Row],[STATUS]]="PERDIDO","PERDIDO",IF(VEND[[#This Row],[STATUS]]="EN ESPERA","EN ESPERA")))</f>
        <v>PERDIDO</v>
      </c>
      <c r="U243" s="112" t="s">
        <v>23</v>
      </c>
      <c r="V243" s="112" t="s">
        <v>23</v>
      </c>
      <c r="W243" s="55" t="s">
        <v>1402</v>
      </c>
      <c r="X243" s="112"/>
    </row>
    <row r="244" spans="2:24" s="38" customFormat="1" ht="15.75" x14ac:dyDescent="0.25">
      <c r="B244" s="71">
        <v>44299</v>
      </c>
      <c r="C244" s="71" t="str">
        <f>TEXT(VEND[[#This Row],[Fecha de Envío
Cotización]],"mmmm")</f>
        <v>abril</v>
      </c>
      <c r="D244" s="66" t="s">
        <v>50</v>
      </c>
      <c r="E244" s="115" t="s">
        <v>42</v>
      </c>
      <c r="F244" s="125" t="str">
        <f>IF(VEND[[#This Row],[STATUS]]="PERDIDO","N/A","En espera")</f>
        <v>N/A</v>
      </c>
      <c r="G244" s="125" t="str">
        <f>TEXT(VEND[[#This Row],[Fecha Recibe
O.C]],"mmmm")</f>
        <v>N/A</v>
      </c>
      <c r="H244" s="112">
        <v>20206</v>
      </c>
      <c r="I244" s="112" t="s">
        <v>90</v>
      </c>
      <c r="J244" s="112"/>
      <c r="K244" s="58">
        <v>1</v>
      </c>
      <c r="L244" s="123">
        <v>429.63</v>
      </c>
      <c r="M244" s="112" t="s">
        <v>16</v>
      </c>
      <c r="N244" s="112">
        <v>21</v>
      </c>
      <c r="O244" s="212" t="str">
        <f>IF(VEND[[#This Row],[STATUS]]="O.C",(VEND[[#This Row],[Fecha Recibe
O.C]]+VEND[[#This Row],[Dias
entrega ]]),"")</f>
        <v/>
      </c>
      <c r="P244" s="212"/>
      <c r="Q244" s="58" t="str">
        <f>IFERROR(VEND[[#This Row],[Fecha de Despacho]]-VEND[[#This Row],[Fecha Estimada de Entrega a  Cliente]],"")</f>
        <v/>
      </c>
      <c r="R2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4" s="112" t="str">
        <f>IF(VEND[[#This Row],[STATUS]]="O.C","APROBADO",IF(VEND[[#This Row],[STATUS]]="PERDIDO","PERDIDO",IF(VEND[[#This Row],[STATUS]]="EN ESPERA","EN ESPERA")))</f>
        <v>PERDIDO</v>
      </c>
      <c r="T244" s="112" t="str">
        <f>IF(VEND[[#This Row],[STATUS]]="O.C","APROBADO",IF(VEND[[#This Row],[STATUS]]="PERDIDO","PERDIDO",IF(VEND[[#This Row],[STATUS]]="EN ESPERA","EN ESPERA")))</f>
        <v>PERDIDO</v>
      </c>
      <c r="U244" s="112" t="s">
        <v>23</v>
      </c>
      <c r="V244" s="112" t="s">
        <v>23</v>
      </c>
      <c r="W244" s="112" t="s">
        <v>1403</v>
      </c>
      <c r="X244" s="112"/>
    </row>
    <row r="245" spans="2:24" s="38" customFormat="1" ht="15.75" x14ac:dyDescent="0.25">
      <c r="B245" s="71">
        <v>44299</v>
      </c>
      <c r="C245" s="71" t="str">
        <f>TEXT(VEND[[#This Row],[Fecha de Envío
Cotización]],"mmmm")</f>
        <v>abril</v>
      </c>
      <c r="D245" s="66" t="s">
        <v>50</v>
      </c>
      <c r="E245" s="115" t="s">
        <v>42</v>
      </c>
      <c r="F245" s="92" t="str">
        <f>IF(VEND[[#This Row],[STATUS]]="PERDIDO","N/A","En espera")</f>
        <v>N/A</v>
      </c>
      <c r="G245" s="125" t="str">
        <f>TEXT(VEND[[#This Row],[Fecha Recibe
O.C]],"mmmm")</f>
        <v>N/A</v>
      </c>
      <c r="H245" s="112">
        <v>20208</v>
      </c>
      <c r="I245" s="112" t="s">
        <v>123</v>
      </c>
      <c r="J245" s="112"/>
      <c r="K245" s="58">
        <v>2</v>
      </c>
      <c r="L245" s="123">
        <v>221.28</v>
      </c>
      <c r="M245" s="55" t="s">
        <v>16</v>
      </c>
      <c r="N245" s="112">
        <v>21</v>
      </c>
      <c r="O245" s="212" t="str">
        <f>IF(VEND[[#This Row],[STATUS]]="O.C",(VEND[[#This Row],[Fecha Recibe
O.C]]+VEND[[#This Row],[Dias
entrega ]]),"")</f>
        <v/>
      </c>
      <c r="P245" s="212"/>
      <c r="Q245" s="58" t="str">
        <f>IFERROR(VEND[[#This Row],[Fecha de Despacho]]-VEND[[#This Row],[Fecha Estimada de Entrega a  Cliente]],"")</f>
        <v/>
      </c>
      <c r="R2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5" s="112" t="str">
        <f>IF(VEND[[#This Row],[STATUS]]="O.C","APROBADO",IF(VEND[[#This Row],[STATUS]]="PERDIDO","PERDIDO",IF(VEND[[#This Row],[STATUS]]="EN ESPERA","EN ESPERA")))</f>
        <v>PERDIDO</v>
      </c>
      <c r="T245" s="112" t="str">
        <f>IF(VEND[[#This Row],[STATUS]]="O.C","APROBADO",IF(VEND[[#This Row],[STATUS]]="PERDIDO","PERDIDO",IF(VEND[[#This Row],[STATUS]]="EN ESPERA","EN ESPERA")))</f>
        <v>PERDIDO</v>
      </c>
      <c r="U245" s="112" t="s">
        <v>23</v>
      </c>
      <c r="V245" s="112" t="s">
        <v>23</v>
      </c>
      <c r="W245" s="55" t="s">
        <v>1402</v>
      </c>
      <c r="X245" s="112"/>
    </row>
    <row r="246" spans="2:24" s="38" customFormat="1" ht="15.75" x14ac:dyDescent="0.25">
      <c r="B246" s="71">
        <v>44299</v>
      </c>
      <c r="C246" s="71" t="str">
        <f>TEXT(VEND[[#This Row],[Fecha de Envío
Cotización]],"mmmm")</f>
        <v>abril</v>
      </c>
      <c r="D246" s="66" t="s">
        <v>50</v>
      </c>
      <c r="E246" s="115" t="s">
        <v>42</v>
      </c>
      <c r="F246" s="92" t="str">
        <f>IF(VEND[[#This Row],[STATUS]]="PERDIDO","N/A","En espera")</f>
        <v>N/A</v>
      </c>
      <c r="G246" s="125" t="str">
        <f>TEXT(VEND[[#This Row],[Fecha Recibe
O.C]],"mmmm")</f>
        <v>N/A</v>
      </c>
      <c r="H246" s="112">
        <v>20209</v>
      </c>
      <c r="I246" s="55" t="s">
        <v>125</v>
      </c>
      <c r="J246" s="112"/>
      <c r="K246" s="58">
        <v>1</v>
      </c>
      <c r="L246" s="123">
        <v>788.64</v>
      </c>
      <c r="M246" s="55" t="s">
        <v>16</v>
      </c>
      <c r="N246" s="112">
        <v>21</v>
      </c>
      <c r="O246" s="212" t="str">
        <f>IF(VEND[[#This Row],[STATUS]]="O.C",(VEND[[#This Row],[Fecha Recibe
O.C]]+VEND[[#This Row],[Dias
entrega ]]),"")</f>
        <v/>
      </c>
      <c r="P246" s="212"/>
      <c r="Q246" s="58" t="str">
        <f>IFERROR(VEND[[#This Row],[Fecha de Despacho]]-VEND[[#This Row],[Fecha Estimada de Entrega a  Cliente]],"")</f>
        <v/>
      </c>
      <c r="R2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6" s="112" t="str">
        <f>IF(VEND[[#This Row],[STATUS]]="O.C","APROBADO",IF(VEND[[#This Row],[STATUS]]="PERDIDO","PERDIDO",IF(VEND[[#This Row],[STATUS]]="EN ESPERA","EN ESPERA")))</f>
        <v>PERDIDO</v>
      </c>
      <c r="T246" s="112" t="str">
        <f>IF(VEND[[#This Row],[STATUS]]="O.C","APROBADO",IF(VEND[[#This Row],[STATUS]]="PERDIDO","PERDIDO",IF(VEND[[#This Row],[STATUS]]="EN ESPERA","EN ESPERA")))</f>
        <v>PERDIDO</v>
      </c>
      <c r="U246" s="112" t="s">
        <v>23</v>
      </c>
      <c r="V246" s="112" t="s">
        <v>23</v>
      </c>
      <c r="W246" s="55" t="s">
        <v>1401</v>
      </c>
      <c r="X246" s="112"/>
    </row>
    <row r="247" spans="2:24" ht="15.75" x14ac:dyDescent="0.25">
      <c r="B247" s="71">
        <v>44299</v>
      </c>
      <c r="C247" s="71" t="str">
        <f>TEXT(VEND[[#This Row],[Fecha de Envío
Cotización]],"mmmm")</f>
        <v>abril</v>
      </c>
      <c r="D247" s="66" t="s">
        <v>50</v>
      </c>
      <c r="E247" s="92" t="s">
        <v>42</v>
      </c>
      <c r="F247" s="125" t="str">
        <f>IF(VEND[[#This Row],[STATUS]]="PERDIDO","N/A","En espera")</f>
        <v>N/A</v>
      </c>
      <c r="G247" s="125" t="str">
        <f>TEXT(VEND[[#This Row],[Fecha Recibe
O.C]],"mmmm")</f>
        <v>N/A</v>
      </c>
      <c r="H247" s="112">
        <v>20210</v>
      </c>
      <c r="I247" s="112" t="s">
        <v>125</v>
      </c>
      <c r="J247" s="112"/>
      <c r="K247" s="58">
        <v>1</v>
      </c>
      <c r="L247" s="123">
        <v>124.35</v>
      </c>
      <c r="M247" s="55" t="s">
        <v>16</v>
      </c>
      <c r="N247" s="112">
        <v>21</v>
      </c>
      <c r="O247" s="212" t="str">
        <f>IF(VEND[[#This Row],[STATUS]]="O.C",(VEND[[#This Row],[Fecha Recibe
O.C]]+VEND[[#This Row],[Dias
entrega ]]),"")</f>
        <v/>
      </c>
      <c r="P247" s="212"/>
      <c r="Q247" s="58" t="str">
        <f>IFERROR(VEND[[#This Row],[Fecha de Despacho]]-VEND[[#This Row],[Fecha Estimada de Entrega a  Cliente]],"")</f>
        <v/>
      </c>
      <c r="R2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7" s="112" t="str">
        <f>IF(VEND[[#This Row],[STATUS]]="O.C","APROBADO",IF(VEND[[#This Row],[STATUS]]="PERDIDO","PERDIDO",IF(VEND[[#This Row],[STATUS]]="EN ESPERA","EN ESPERA")))</f>
        <v>PERDIDO</v>
      </c>
      <c r="T247" s="112" t="str">
        <f>IF(VEND[[#This Row],[STATUS]]="O.C","APROBADO",IF(VEND[[#This Row],[STATUS]]="PERDIDO","PERDIDO",IF(VEND[[#This Row],[STATUS]]="EN ESPERA","EN ESPERA")))</f>
        <v>PERDIDO</v>
      </c>
      <c r="U247" s="112" t="s">
        <v>23</v>
      </c>
      <c r="V247" s="112" t="s">
        <v>23</v>
      </c>
      <c r="W247" s="112" t="s">
        <v>1401</v>
      </c>
      <c r="X247" s="112"/>
    </row>
    <row r="248" spans="2:24" ht="15.75" x14ac:dyDescent="0.25">
      <c r="B248" s="71">
        <v>44299</v>
      </c>
      <c r="C248" s="71" t="str">
        <f>TEXT(VEND[[#This Row],[Fecha de Envío
Cotización]],"mmmm")</f>
        <v>abril</v>
      </c>
      <c r="D248" s="66" t="s">
        <v>944</v>
      </c>
      <c r="E248" s="92" t="s">
        <v>83</v>
      </c>
      <c r="F248" s="93">
        <v>44301</v>
      </c>
      <c r="G248" s="93" t="str">
        <f>TEXT(VEND[[#This Row],[Fecha Recibe
O.C]],"mmmm")</f>
        <v>abril</v>
      </c>
      <c r="H248" s="112">
        <v>36405</v>
      </c>
      <c r="I248" s="112" t="s">
        <v>76</v>
      </c>
      <c r="J248" s="112"/>
      <c r="K248" s="58">
        <v>1</v>
      </c>
      <c r="L248" s="123">
        <v>200.6</v>
      </c>
      <c r="M248" s="112" t="s">
        <v>22</v>
      </c>
      <c r="N248" s="112">
        <v>0</v>
      </c>
      <c r="O248" s="212">
        <f>IF(VEND[[#This Row],[STATUS]]="O.C",(VEND[[#This Row],[Fecha Recibe
O.C]]+VEND[[#This Row],[Dias
entrega ]]),"")</f>
        <v>44301</v>
      </c>
      <c r="P248" s="212"/>
      <c r="Q248" s="58">
        <f>IFERROR(VEND[[#This Row],[Fecha de Despacho]]-VEND[[#This Row],[Fecha Estimada de Entrega a  Cliente]],"")</f>
        <v>-44301</v>
      </c>
      <c r="R2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8" s="112" t="str">
        <f>IF(VEND[[#This Row],[STATUS]]="O.C","APROBADO",IF(VEND[[#This Row],[STATUS]]="PERDIDO","PERDIDO",IF(VEND[[#This Row],[STATUS]]="EN ESPERA","EN ESPERA")))</f>
        <v>APROBADO</v>
      </c>
      <c r="T248" s="112" t="str">
        <f>IF(VEND[[#This Row],[STATUS]]="O.C","APROBADO",IF(VEND[[#This Row],[STATUS]]="PERDIDO","PERDIDO",IF(VEND[[#This Row],[STATUS]]="EN ESPERA","EN ESPERA")))</f>
        <v>APROBADO</v>
      </c>
      <c r="U248" s="112" t="s">
        <v>45</v>
      </c>
      <c r="V248" s="112" t="s">
        <v>47</v>
      </c>
      <c r="W248" s="112" t="s">
        <v>1402</v>
      </c>
      <c r="X248" s="112"/>
    </row>
    <row r="249" spans="2:24" ht="15.75" x14ac:dyDescent="0.25">
      <c r="B249" s="232">
        <v>44299</v>
      </c>
      <c r="C249" s="71" t="str">
        <f>TEXT(VEND[[#This Row],[Fecha de Envío
Cotización]],"mmmm")</f>
        <v>abril</v>
      </c>
      <c r="D249" s="66" t="s">
        <v>1163</v>
      </c>
      <c r="E249" s="92" t="s">
        <v>83</v>
      </c>
      <c r="F249" s="93">
        <v>44308</v>
      </c>
      <c r="G249" s="93" t="str">
        <f>TEXT(VEND[[#This Row],[Fecha Recibe
O.C]],"mmmm")</f>
        <v>abril</v>
      </c>
      <c r="H249" s="112" t="s">
        <v>1235</v>
      </c>
      <c r="I249" s="55" t="s">
        <v>1241</v>
      </c>
      <c r="J249" s="112"/>
      <c r="K249" s="58">
        <v>1</v>
      </c>
      <c r="L249" s="123">
        <v>2073</v>
      </c>
      <c r="M249" s="55"/>
      <c r="N249" s="112"/>
      <c r="O249" s="212">
        <f>IF(VEND[[#This Row],[STATUS]]="O.C",(VEND[[#This Row],[Fecha Recibe
O.C]]+VEND[[#This Row],[Dias
entrega ]]),"")</f>
        <v>44308</v>
      </c>
      <c r="P249" s="212"/>
      <c r="Q249" s="58">
        <f>IFERROR(VEND[[#This Row],[Fecha de Despacho]]-VEND[[#This Row],[Fecha Estimada de Entrega a  Cliente]],"")</f>
        <v>-44308</v>
      </c>
      <c r="R2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49" s="55" t="str">
        <f>IF(VEND[[#This Row],[STATUS]]="O.C","APROBADO",IF(VEND[[#This Row],[STATUS]]="PERDIDO","PERDIDO",IF(VEND[[#This Row],[STATUS]]="EN ESPERA","EN ESPERA")))</f>
        <v>APROBADO</v>
      </c>
      <c r="T249" s="55" t="str">
        <f>IF(VEND[[#This Row],[STATUS]]="O.C","APROBADO",IF(VEND[[#This Row],[STATUS]]="PERDIDO","PERDIDO",IF(VEND[[#This Row],[STATUS]]="EN ESPERA","EN ESPERA")))</f>
        <v>APROBADO</v>
      </c>
      <c r="U249" s="112" t="s">
        <v>46</v>
      </c>
      <c r="V249" s="112" t="s">
        <v>46</v>
      </c>
      <c r="W249" s="55" t="s">
        <v>1409</v>
      </c>
      <c r="X249" s="112" t="s">
        <v>2429</v>
      </c>
    </row>
    <row r="250" spans="2:24" ht="15.75" x14ac:dyDescent="0.25">
      <c r="B250" s="71">
        <v>44299</v>
      </c>
      <c r="C250" s="71" t="str">
        <f>TEXT(VEND[[#This Row],[Fecha de Envío
Cotización]],"mmmm")</f>
        <v>abril</v>
      </c>
      <c r="D250" s="66" t="s">
        <v>1163</v>
      </c>
      <c r="E250" s="92" t="s">
        <v>42</v>
      </c>
      <c r="F250" s="115" t="str">
        <f>IF(VEND[[#This Row],[STATUS]]="PERDIDO","N/A","En espera")</f>
        <v>N/A</v>
      </c>
      <c r="G250" s="125" t="str">
        <f>TEXT(VEND[[#This Row],[Fecha Recibe
O.C]],"mmmm")</f>
        <v>N/A</v>
      </c>
      <c r="H250" s="112" t="s">
        <v>1234</v>
      </c>
      <c r="I250" s="55" t="s">
        <v>1242</v>
      </c>
      <c r="J250" s="112"/>
      <c r="K250" s="58">
        <v>1</v>
      </c>
      <c r="L250" s="123">
        <v>3960</v>
      </c>
      <c r="M250" s="55"/>
      <c r="N250" s="112"/>
      <c r="O250" s="212" t="str">
        <f>IF(VEND[[#This Row],[STATUS]]="O.C",(VEND[[#This Row],[Fecha Recibe
O.C]]+VEND[[#This Row],[Dias
entrega ]]),"")</f>
        <v/>
      </c>
      <c r="P250" s="212"/>
      <c r="Q250" s="58" t="str">
        <f>IFERROR(VEND[[#This Row],[Fecha de Despacho]]-VEND[[#This Row],[Fecha Estimada de Entrega a  Cliente]],"")</f>
        <v/>
      </c>
      <c r="R2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0" s="55" t="str">
        <f>IF(VEND[[#This Row],[STATUS]]="O.C","APROBADO",IF(VEND[[#This Row],[STATUS]]="PERDIDO","PERDIDO",IF(VEND[[#This Row],[STATUS]]="EN ESPERA","EN ESPERA")))</f>
        <v>PERDIDO</v>
      </c>
      <c r="T250" s="55" t="str">
        <f>IF(VEND[[#This Row],[STATUS]]="O.C","APROBADO",IF(VEND[[#This Row],[STATUS]]="PERDIDO","PERDIDO",IF(VEND[[#This Row],[STATUS]]="EN ESPERA","EN ESPERA")))</f>
        <v>PERDIDO</v>
      </c>
      <c r="U250" s="112" t="s">
        <v>23</v>
      </c>
      <c r="V250" s="112" t="s">
        <v>23</v>
      </c>
      <c r="W250" s="112" t="s">
        <v>1401</v>
      </c>
      <c r="X250" s="112"/>
    </row>
    <row r="251" spans="2:24" ht="15.75" x14ac:dyDescent="0.25">
      <c r="B251" s="71">
        <v>44300</v>
      </c>
      <c r="C251" s="71" t="str">
        <f>TEXT(VEND[[#This Row],[Fecha de Envío
Cotización]],"mmmm")</f>
        <v>abril</v>
      </c>
      <c r="D251" s="66" t="s">
        <v>41</v>
      </c>
      <c r="E251" s="92" t="s">
        <v>42</v>
      </c>
      <c r="F251" s="92" t="str">
        <f>IF(VEND[[#This Row],[STATUS]]="PERDIDO","N/A","En espera")</f>
        <v>N/A</v>
      </c>
      <c r="G251" s="125" t="str">
        <f>TEXT(VEND[[#This Row],[Fecha Recibe
O.C]],"mmmm")</f>
        <v>N/A</v>
      </c>
      <c r="H251" s="112">
        <v>2</v>
      </c>
      <c r="I251" s="112" t="s">
        <v>298</v>
      </c>
      <c r="J251" s="112"/>
      <c r="K251" s="58">
        <v>5</v>
      </c>
      <c r="L251" s="123">
        <v>378.37</v>
      </c>
      <c r="M251" s="112" t="s">
        <v>73</v>
      </c>
      <c r="N251" s="112">
        <v>14</v>
      </c>
      <c r="O251" s="212" t="str">
        <f>IF(VEND[[#This Row],[STATUS]]="O.C",(VEND[[#This Row],[Fecha Recibe
O.C]]+VEND[[#This Row],[Dias
entrega ]]),"")</f>
        <v/>
      </c>
      <c r="P251" s="212"/>
      <c r="Q251" s="58" t="str">
        <f>IFERROR(VEND[[#This Row],[Fecha de Despacho]]-VEND[[#This Row],[Fecha Estimada de Entrega a  Cliente]],"")</f>
        <v/>
      </c>
      <c r="R2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1" s="112" t="str">
        <f>IF(VEND[[#This Row],[STATUS]]="O.C","APROBADO",IF(VEND[[#This Row],[STATUS]]="PERDIDO","PERDIDO",IF(VEND[[#This Row],[STATUS]]="EN ESPERA","EN ESPERA")))</f>
        <v>PERDIDO</v>
      </c>
      <c r="T251" s="112" t="str">
        <f>IF(VEND[[#This Row],[STATUS]]="O.C","APROBADO",IF(VEND[[#This Row],[STATUS]]="PERDIDO","PERDIDO",IF(VEND[[#This Row],[STATUS]]="EN ESPERA","EN ESPERA")))</f>
        <v>PERDIDO</v>
      </c>
      <c r="U251" s="55" t="s">
        <v>23</v>
      </c>
      <c r="V251" s="55" t="s">
        <v>23</v>
      </c>
      <c r="W251" s="112" t="s">
        <v>1407</v>
      </c>
      <c r="X251" s="112"/>
    </row>
    <row r="252" spans="2:24" ht="15.75" x14ac:dyDescent="0.25">
      <c r="B252" s="71">
        <v>44300</v>
      </c>
      <c r="C252" s="71" t="str">
        <f>TEXT(VEND[[#This Row],[Fecha de Envío
Cotización]],"mmmm")</f>
        <v>abril</v>
      </c>
      <c r="D252" s="66" t="s">
        <v>945</v>
      </c>
      <c r="E252" s="92" t="s">
        <v>42</v>
      </c>
      <c r="F252" s="125" t="str">
        <f>IF(VEND[[#This Row],[STATUS]]="PERDIDO","N/A","En espera")</f>
        <v>N/A</v>
      </c>
      <c r="G252" s="125" t="str">
        <f>TEXT(VEND[[#This Row],[Fecha Recibe
O.C]],"mmmm")</f>
        <v>N/A</v>
      </c>
      <c r="H252" s="112">
        <v>3</v>
      </c>
      <c r="I252" s="112" t="s">
        <v>98</v>
      </c>
      <c r="J252" s="112"/>
      <c r="K252" s="58">
        <v>1</v>
      </c>
      <c r="L252" s="123">
        <v>169.39</v>
      </c>
      <c r="M252" s="112" t="s">
        <v>22</v>
      </c>
      <c r="N252" s="112">
        <v>0</v>
      </c>
      <c r="O252" s="212" t="str">
        <f>IF(VEND[[#This Row],[STATUS]]="O.C",(VEND[[#This Row],[Fecha Recibe
O.C]]+VEND[[#This Row],[Dias
entrega ]]),"")</f>
        <v/>
      </c>
      <c r="P252" s="212"/>
      <c r="Q252" s="58" t="str">
        <f>IFERROR(VEND[[#This Row],[Fecha de Despacho]]-VEND[[#This Row],[Fecha Estimada de Entrega a  Cliente]],"")</f>
        <v/>
      </c>
      <c r="R2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2" s="112" t="str">
        <f>IF(VEND[[#This Row],[STATUS]]="O.C","APROBADO",IF(VEND[[#This Row],[STATUS]]="PERDIDO","PERDIDO",IF(VEND[[#This Row],[STATUS]]="EN ESPERA","EN ESPERA")))</f>
        <v>PERDIDO</v>
      </c>
      <c r="T252" s="112" t="str">
        <f>IF(VEND[[#This Row],[STATUS]]="O.C","APROBADO",IF(VEND[[#This Row],[STATUS]]="PERDIDO","PERDIDO",IF(VEND[[#This Row],[STATUS]]="EN ESPERA","EN ESPERA")))</f>
        <v>PERDIDO</v>
      </c>
      <c r="U252" s="55" t="s">
        <v>23</v>
      </c>
      <c r="V252" s="55" t="s">
        <v>23</v>
      </c>
      <c r="W252" s="55" t="s">
        <v>1401</v>
      </c>
      <c r="X252" s="112"/>
    </row>
    <row r="253" spans="2:24" ht="15.75" x14ac:dyDescent="0.25">
      <c r="B253" s="71">
        <v>44300</v>
      </c>
      <c r="C253" s="71" t="str">
        <f>TEXT(VEND[[#This Row],[Fecha de Envío
Cotización]],"mmmm")</f>
        <v>abril</v>
      </c>
      <c r="D253" s="66" t="s">
        <v>41</v>
      </c>
      <c r="E253" s="92" t="s">
        <v>42</v>
      </c>
      <c r="F253" s="125" t="str">
        <f>IF(VEND[[#This Row],[STATUS]]="PERDIDO","N/A","En espera")</f>
        <v>N/A</v>
      </c>
      <c r="G253" s="125" t="str">
        <f>TEXT(VEND[[#This Row],[Fecha Recibe
O.C]],"mmmm")</f>
        <v>N/A</v>
      </c>
      <c r="H253" s="112">
        <v>1708</v>
      </c>
      <c r="I253" s="112" t="s">
        <v>40</v>
      </c>
      <c r="J253" s="112"/>
      <c r="K253" s="58">
        <v>1</v>
      </c>
      <c r="L253" s="123">
        <v>159.79</v>
      </c>
      <c r="M253" s="112" t="s">
        <v>73</v>
      </c>
      <c r="N253" s="112">
        <v>2</v>
      </c>
      <c r="O253" s="212" t="str">
        <f>IF(VEND[[#This Row],[STATUS]]="O.C",(VEND[[#This Row],[Fecha Recibe
O.C]]+VEND[[#This Row],[Dias
entrega ]]),"")</f>
        <v/>
      </c>
      <c r="P253" s="212"/>
      <c r="Q253" s="58" t="str">
        <f>IFERROR(VEND[[#This Row],[Fecha de Despacho]]-VEND[[#This Row],[Fecha Estimada de Entrega a  Cliente]],"")</f>
        <v/>
      </c>
      <c r="R2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3" s="112" t="str">
        <f>IF(VEND[[#This Row],[STATUS]]="O.C","APROBADO",IF(VEND[[#This Row],[STATUS]]="PERDIDO","PERDIDO",IF(VEND[[#This Row],[STATUS]]="EN ESPERA","EN ESPERA")))</f>
        <v>PERDIDO</v>
      </c>
      <c r="T253" s="112" t="str">
        <f>IF(VEND[[#This Row],[STATUS]]="O.C","APROBADO",IF(VEND[[#This Row],[STATUS]]="PERDIDO","PERDIDO",IF(VEND[[#This Row],[STATUS]]="EN ESPERA","EN ESPERA")))</f>
        <v>PERDIDO</v>
      </c>
      <c r="U253" s="55" t="s">
        <v>23</v>
      </c>
      <c r="V253" s="55" t="s">
        <v>23</v>
      </c>
      <c r="W253" s="55" t="s">
        <v>1401</v>
      </c>
      <c r="X253" s="112"/>
    </row>
    <row r="254" spans="2:24" ht="15.75" x14ac:dyDescent="0.25">
      <c r="B254" s="71">
        <v>44300</v>
      </c>
      <c r="C254" s="71" t="str">
        <f>TEXT(VEND[[#This Row],[Fecha de Envío
Cotización]],"mmmm")</f>
        <v>abril</v>
      </c>
      <c r="D254" s="66" t="s">
        <v>945</v>
      </c>
      <c r="E254" s="92" t="s">
        <v>83</v>
      </c>
      <c r="F254" s="93">
        <v>44300</v>
      </c>
      <c r="G254" s="93" t="str">
        <f>TEXT(VEND[[#This Row],[Fecha Recibe
O.C]],"mmmm")</f>
        <v>abril</v>
      </c>
      <c r="H254" s="112">
        <v>20053</v>
      </c>
      <c r="I254" s="112" t="s">
        <v>14</v>
      </c>
      <c r="J254" s="112"/>
      <c r="K254" s="58">
        <v>1</v>
      </c>
      <c r="L254" s="123">
        <v>501</v>
      </c>
      <c r="M254" s="112" t="s">
        <v>22</v>
      </c>
      <c r="N254" s="112">
        <v>0</v>
      </c>
      <c r="O254" s="212">
        <f>IF(VEND[[#This Row],[STATUS]]="O.C",(VEND[[#This Row],[Fecha Recibe
O.C]]+VEND[[#This Row],[Dias
entrega ]]),"")</f>
        <v>44300</v>
      </c>
      <c r="P254" s="212">
        <v>44301</v>
      </c>
      <c r="Q254" s="58">
        <f>IFERROR(VEND[[#This Row],[Fecha de Despacho]]-VEND[[#This Row],[Fecha Estimada de Entrega a  Cliente]],"")</f>
        <v>1</v>
      </c>
      <c r="R2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54" s="112" t="str">
        <f>IF(VEND[[#This Row],[STATUS]]="O.C","APROBADO",IF(VEND[[#This Row],[STATUS]]="PERDIDO","PERDIDO",IF(VEND[[#This Row],[STATUS]]="EN ESPERA","EN ESPERA")))</f>
        <v>APROBADO</v>
      </c>
      <c r="T254" s="112" t="str">
        <f>IF(VEND[[#This Row],[STATUS]]="O.C","APROBADO",IF(VEND[[#This Row],[STATUS]]="PERDIDO","PERDIDO",IF(VEND[[#This Row],[STATUS]]="EN ESPERA","EN ESPERA")))</f>
        <v>APROBADO</v>
      </c>
      <c r="U254" s="55" t="s">
        <v>45</v>
      </c>
      <c r="V254" s="55" t="s">
        <v>47</v>
      </c>
      <c r="W254" s="55" t="s">
        <v>1402</v>
      </c>
      <c r="X254" s="112"/>
    </row>
    <row r="255" spans="2:24" ht="15.75" x14ac:dyDescent="0.25">
      <c r="B255" s="71">
        <v>44300</v>
      </c>
      <c r="C255" s="71" t="str">
        <f>TEXT(VEND[[#This Row],[Fecha de Envío
Cotización]],"mmmm")</f>
        <v>abril</v>
      </c>
      <c r="D255" s="66" t="s">
        <v>50</v>
      </c>
      <c r="E255" s="92" t="s">
        <v>42</v>
      </c>
      <c r="F255" s="92" t="str">
        <f>IF(VEND[[#This Row],[STATUS]]="PERDIDO","N/A","En espera")</f>
        <v>N/A</v>
      </c>
      <c r="G255" s="125" t="str">
        <f>TEXT(VEND[[#This Row],[Fecha Recibe
O.C]],"mmmm")</f>
        <v>N/A</v>
      </c>
      <c r="H255" s="112">
        <v>20212</v>
      </c>
      <c r="I255" s="112" t="s">
        <v>126</v>
      </c>
      <c r="J255" s="112"/>
      <c r="K255" s="58">
        <v>14</v>
      </c>
      <c r="L255" s="123">
        <v>10860.89</v>
      </c>
      <c r="M255" s="112" t="s">
        <v>36</v>
      </c>
      <c r="N255" s="112">
        <v>28</v>
      </c>
      <c r="O255" s="212" t="str">
        <f>IF(VEND[[#This Row],[STATUS]]="O.C",(VEND[[#This Row],[Fecha Recibe
O.C]]+VEND[[#This Row],[Dias
entrega ]]),"")</f>
        <v/>
      </c>
      <c r="P255" s="212"/>
      <c r="Q255" s="58" t="str">
        <f>IFERROR(VEND[[#This Row],[Fecha de Despacho]]-VEND[[#This Row],[Fecha Estimada de Entrega a  Cliente]],"")</f>
        <v/>
      </c>
      <c r="R2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5" s="112" t="str">
        <f>IF(VEND[[#This Row],[STATUS]]="O.C","APROBADO",IF(VEND[[#This Row],[STATUS]]="PERDIDO","PERDIDO",IF(VEND[[#This Row],[STATUS]]="EN ESPERA","EN ESPERA")))</f>
        <v>PERDIDO</v>
      </c>
      <c r="T255" s="112" t="str">
        <f>IF(VEND[[#This Row],[STATUS]]="O.C","APROBADO",IF(VEND[[#This Row],[STATUS]]="PERDIDO","PERDIDO",IF(VEND[[#This Row],[STATUS]]="EN ESPERA","EN ESPERA")))</f>
        <v>PERDIDO</v>
      </c>
      <c r="U255" s="112" t="s">
        <v>23</v>
      </c>
      <c r="V255" s="112" t="s">
        <v>23</v>
      </c>
      <c r="W255" s="112" t="s">
        <v>1401</v>
      </c>
      <c r="X255" s="112"/>
    </row>
    <row r="256" spans="2:24" ht="15.75" x14ac:dyDescent="0.25">
      <c r="B256" s="71">
        <v>44300</v>
      </c>
      <c r="C256" s="71" t="str">
        <f>TEXT(VEND[[#This Row],[Fecha de Envío
Cotización]],"mmmm")</f>
        <v>abril</v>
      </c>
      <c r="D256" s="66" t="s">
        <v>50</v>
      </c>
      <c r="E256" s="92" t="s">
        <v>42</v>
      </c>
      <c r="F256" s="125" t="str">
        <f>IF(VEND[[#This Row],[STATUS]]="PERDIDO","N/A","En espera")</f>
        <v>N/A</v>
      </c>
      <c r="G256" s="125" t="str">
        <f>TEXT(VEND[[#This Row],[Fecha Recibe
O.C]],"mmmm")</f>
        <v>N/A</v>
      </c>
      <c r="H256" s="112">
        <v>20213</v>
      </c>
      <c r="I256" s="112" t="s">
        <v>109</v>
      </c>
      <c r="J256" s="112"/>
      <c r="K256" s="58">
        <v>2</v>
      </c>
      <c r="L256" s="123">
        <v>3525.37</v>
      </c>
      <c r="M256" s="112" t="s">
        <v>127</v>
      </c>
      <c r="N256" s="112">
        <v>3</v>
      </c>
      <c r="O256" s="212" t="str">
        <f>IF(VEND[[#This Row],[STATUS]]="O.C",(VEND[[#This Row],[Fecha Recibe
O.C]]+VEND[[#This Row],[Dias
entrega ]]),"")</f>
        <v/>
      </c>
      <c r="P256" s="212"/>
      <c r="Q256" s="58" t="str">
        <f>IFERROR(VEND[[#This Row],[Fecha de Despacho]]-VEND[[#This Row],[Fecha Estimada de Entrega a  Cliente]],"")</f>
        <v/>
      </c>
      <c r="R2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6" s="112" t="str">
        <f>IF(VEND[[#This Row],[STATUS]]="O.C","APROBADO",IF(VEND[[#This Row],[STATUS]]="PERDIDO","PERDIDO",IF(VEND[[#This Row],[STATUS]]="EN ESPERA","EN ESPERA")))</f>
        <v>PERDIDO</v>
      </c>
      <c r="T256" s="112" t="str">
        <f>IF(VEND[[#This Row],[STATUS]]="O.C","APROBADO",IF(VEND[[#This Row],[STATUS]]="PERDIDO","PERDIDO",IF(VEND[[#This Row],[STATUS]]="EN ESPERA","EN ESPERA")))</f>
        <v>PERDIDO</v>
      </c>
      <c r="U256" s="112" t="s">
        <v>23</v>
      </c>
      <c r="V256" s="112" t="s">
        <v>23</v>
      </c>
      <c r="W256" s="112" t="s">
        <v>1401</v>
      </c>
      <c r="X256" s="112" t="s">
        <v>928</v>
      </c>
    </row>
    <row r="257" spans="2:24" ht="15.75" x14ac:dyDescent="0.25">
      <c r="B257" s="71">
        <v>44300</v>
      </c>
      <c r="C257" s="71" t="str">
        <f>TEXT(VEND[[#This Row],[Fecha de Envío
Cotización]],"mmmm")</f>
        <v>abril</v>
      </c>
      <c r="D257" s="66" t="s">
        <v>50</v>
      </c>
      <c r="E257" s="92" t="s">
        <v>83</v>
      </c>
      <c r="F257" s="93">
        <v>44312</v>
      </c>
      <c r="G257" s="93" t="str">
        <f>TEXT(VEND[[#This Row],[Fecha Recibe
O.C]],"mmmm")</f>
        <v>abril</v>
      </c>
      <c r="H257" s="112">
        <v>20214</v>
      </c>
      <c r="I257" s="112" t="s">
        <v>55</v>
      </c>
      <c r="J257" s="112"/>
      <c r="K257" s="58">
        <v>3</v>
      </c>
      <c r="L257" s="123">
        <v>1888.9</v>
      </c>
      <c r="M257" s="112" t="s">
        <v>36</v>
      </c>
      <c r="N257" s="112">
        <v>28</v>
      </c>
      <c r="O257" s="212">
        <f>IF(VEND[[#This Row],[STATUS]]="O.C",(VEND[[#This Row],[Fecha Recibe
O.C]]+VEND[[#This Row],[Dias
entrega ]]),"")</f>
        <v>44340</v>
      </c>
      <c r="P257" s="212">
        <v>44355</v>
      </c>
      <c r="Q257" s="58">
        <f>IFERROR(VEND[[#This Row],[Fecha de Despacho]]-VEND[[#This Row],[Fecha Estimada de Entrega a  Cliente]],"")</f>
        <v>15</v>
      </c>
      <c r="R2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57" s="112" t="str">
        <f>IF(VEND[[#This Row],[STATUS]]="O.C","APROBADO",IF(VEND[[#This Row],[STATUS]]="PERDIDO","PERDIDO",IF(VEND[[#This Row],[STATUS]]="EN ESPERA","EN ESPERA")))</f>
        <v>APROBADO</v>
      </c>
      <c r="T257" s="112" t="str">
        <f>IF(VEND[[#This Row],[STATUS]]="O.C","APROBADO",IF(VEND[[#This Row],[STATUS]]="PERDIDO","PERDIDO",IF(VEND[[#This Row],[STATUS]]="EN ESPERA","EN ESPERA")))</f>
        <v>APROBADO</v>
      </c>
      <c r="U257" s="55" t="s">
        <v>45</v>
      </c>
      <c r="V257" s="55" t="s">
        <v>46</v>
      </c>
      <c r="W257" s="112" t="s">
        <v>1401</v>
      </c>
      <c r="X257" s="112" t="s">
        <v>870</v>
      </c>
    </row>
    <row r="258" spans="2:24" ht="15.75" x14ac:dyDescent="0.25">
      <c r="B258" s="71">
        <v>44300</v>
      </c>
      <c r="C258" s="71" t="str">
        <f>TEXT(VEND[[#This Row],[Fecha de Envío
Cotización]],"mmmm")</f>
        <v>abril</v>
      </c>
      <c r="D258" s="66" t="s">
        <v>945</v>
      </c>
      <c r="E258" s="92" t="s">
        <v>42</v>
      </c>
      <c r="F258" s="125" t="str">
        <f>IF(VEND[[#This Row],[STATUS]]="PERDIDO","N/A","En espera")</f>
        <v>N/A</v>
      </c>
      <c r="G258" s="125" t="str">
        <f>TEXT(VEND[[#This Row],[Fecha Recibe
O.C]],"mmmm")</f>
        <v>N/A</v>
      </c>
      <c r="H258" s="112">
        <v>36705</v>
      </c>
      <c r="I258" s="112" t="s">
        <v>130</v>
      </c>
      <c r="J258" s="112"/>
      <c r="K258" s="58">
        <v>1</v>
      </c>
      <c r="L258" s="123">
        <v>2568</v>
      </c>
      <c r="M258" s="112" t="s">
        <v>16</v>
      </c>
      <c r="N258" s="112">
        <v>21</v>
      </c>
      <c r="O258" s="212" t="str">
        <f>IF(VEND[[#This Row],[STATUS]]="O.C",(VEND[[#This Row],[Fecha Recibe
O.C]]+VEND[[#This Row],[Dias
entrega ]]),"")</f>
        <v/>
      </c>
      <c r="P258" s="212"/>
      <c r="Q258" s="58" t="str">
        <f>IFERROR(VEND[[#This Row],[Fecha de Despacho]]-VEND[[#This Row],[Fecha Estimada de Entrega a  Cliente]],"")</f>
        <v/>
      </c>
      <c r="R2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8" s="112" t="str">
        <f>IF(VEND[[#This Row],[STATUS]]="O.C","APROBADO",IF(VEND[[#This Row],[STATUS]]="PERDIDO","PERDIDO",IF(VEND[[#This Row],[STATUS]]="EN ESPERA","EN ESPERA")))</f>
        <v>PERDIDO</v>
      </c>
      <c r="T258" s="112" t="str">
        <f>IF(VEND[[#This Row],[STATUS]]="O.C","APROBADO",IF(VEND[[#This Row],[STATUS]]="PERDIDO","PERDIDO",IF(VEND[[#This Row],[STATUS]]="EN ESPERA","EN ESPERA")))</f>
        <v>PERDIDO</v>
      </c>
      <c r="U258" s="55" t="s">
        <v>23</v>
      </c>
      <c r="V258" s="55" t="s">
        <v>23</v>
      </c>
      <c r="W258" s="55" t="s">
        <v>1409</v>
      </c>
      <c r="X258" s="112"/>
    </row>
    <row r="259" spans="2:24" ht="15.75" x14ac:dyDescent="0.25">
      <c r="B259" s="71">
        <v>44300</v>
      </c>
      <c r="C259" s="71" t="str">
        <f>TEXT(VEND[[#This Row],[Fecha de Envío
Cotización]],"mmmm")</f>
        <v>abril</v>
      </c>
      <c r="D259" s="66" t="s">
        <v>945</v>
      </c>
      <c r="E259" s="92" t="s">
        <v>42</v>
      </c>
      <c r="F259" s="125" t="str">
        <f>IF(VEND[[#This Row],[STATUS]]="PERDIDO","N/A","En espera")</f>
        <v>N/A</v>
      </c>
      <c r="G259" s="125" t="str">
        <f>TEXT(VEND[[#This Row],[Fecha Recibe
O.C]],"mmmm")</f>
        <v>N/A</v>
      </c>
      <c r="H259" s="112">
        <v>36706</v>
      </c>
      <c r="I259" s="112" t="s">
        <v>130</v>
      </c>
      <c r="J259" s="112"/>
      <c r="K259" s="58">
        <v>1</v>
      </c>
      <c r="L259" s="123">
        <v>584</v>
      </c>
      <c r="M259" s="112" t="s">
        <v>73</v>
      </c>
      <c r="N259" s="112">
        <v>14</v>
      </c>
      <c r="O259" s="212" t="str">
        <f>IF(VEND[[#This Row],[STATUS]]="O.C",(VEND[[#This Row],[Fecha Recibe
O.C]]+VEND[[#This Row],[Dias
entrega ]]),"")</f>
        <v/>
      </c>
      <c r="P259" s="212"/>
      <c r="Q259" s="58" t="str">
        <f>IFERROR(VEND[[#This Row],[Fecha de Despacho]]-VEND[[#This Row],[Fecha Estimada de Entrega a  Cliente]],"")</f>
        <v/>
      </c>
      <c r="R2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59" s="112" t="str">
        <f>IF(VEND[[#This Row],[STATUS]]="O.C","APROBADO",IF(VEND[[#This Row],[STATUS]]="PERDIDO","PERDIDO",IF(VEND[[#This Row],[STATUS]]="EN ESPERA","EN ESPERA")))</f>
        <v>PERDIDO</v>
      </c>
      <c r="T259" s="112" t="str">
        <f>IF(VEND[[#This Row],[STATUS]]="O.C","APROBADO",IF(VEND[[#This Row],[STATUS]]="PERDIDO","PERDIDO",IF(VEND[[#This Row],[STATUS]]="EN ESPERA","EN ESPERA")))</f>
        <v>PERDIDO</v>
      </c>
      <c r="U259" s="55" t="s">
        <v>23</v>
      </c>
      <c r="V259" s="55" t="s">
        <v>23</v>
      </c>
      <c r="W259" s="55" t="s">
        <v>1409</v>
      </c>
      <c r="X259" s="112"/>
    </row>
    <row r="260" spans="2:24" ht="15.75" x14ac:dyDescent="0.25">
      <c r="B260" s="71">
        <v>44300</v>
      </c>
      <c r="C260" s="71" t="str">
        <f>TEXT(VEND[[#This Row],[Fecha de Envío
Cotización]],"mmmm")</f>
        <v>abril</v>
      </c>
      <c r="D260" s="66" t="s">
        <v>68</v>
      </c>
      <c r="E260" s="92" t="s">
        <v>42</v>
      </c>
      <c r="F260" s="125" t="str">
        <f>IF(VEND[[#This Row],[STATUS]]="PERDIDO","N/A","En espera")</f>
        <v>N/A</v>
      </c>
      <c r="G260" s="125" t="str">
        <f>TEXT(VEND[[#This Row],[Fecha Recibe
O.C]],"mmmm")</f>
        <v>N/A</v>
      </c>
      <c r="H260" s="112">
        <v>40002</v>
      </c>
      <c r="I260" s="112" t="s">
        <v>96</v>
      </c>
      <c r="J260" s="112" t="s">
        <v>136</v>
      </c>
      <c r="K260" s="58">
        <v>1</v>
      </c>
      <c r="L260" s="123">
        <v>828</v>
      </c>
      <c r="M260" s="112" t="s">
        <v>22</v>
      </c>
      <c r="N260" s="112">
        <v>0</v>
      </c>
      <c r="O260" s="212" t="str">
        <f>IF(VEND[[#This Row],[STATUS]]="O.C",(VEND[[#This Row],[Fecha Recibe
O.C]]+VEND[[#This Row],[Dias
entrega ]]),"")</f>
        <v/>
      </c>
      <c r="P260" s="212"/>
      <c r="Q260" s="58" t="str">
        <f>IFERROR(VEND[[#This Row],[Fecha de Despacho]]-VEND[[#This Row],[Fecha Estimada de Entrega a  Cliente]],"")</f>
        <v/>
      </c>
      <c r="R2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0" s="112" t="str">
        <f>IF(VEND[[#This Row],[STATUS]]="O.C","APROBADO",IF(VEND[[#This Row],[STATUS]]="PERDIDO","PERDIDO",IF(VEND[[#This Row],[STATUS]]="EN ESPERA","EN ESPERA")))</f>
        <v>PERDIDO</v>
      </c>
      <c r="T260" s="112" t="str">
        <f>IF(VEND[[#This Row],[STATUS]]="O.C","APROBADO",IF(VEND[[#This Row],[STATUS]]="PERDIDO","PERDIDO",IF(VEND[[#This Row],[STATUS]]="EN ESPERA","EN ESPERA")))</f>
        <v>PERDIDO</v>
      </c>
      <c r="U260" s="55" t="s">
        <v>23</v>
      </c>
      <c r="V260" s="55" t="s">
        <v>23</v>
      </c>
      <c r="W260" s="55" t="s">
        <v>1402</v>
      </c>
      <c r="X260" s="112" t="s">
        <v>137</v>
      </c>
    </row>
    <row r="261" spans="2:24" ht="15.75" x14ac:dyDescent="0.25">
      <c r="B261" s="232">
        <v>44300</v>
      </c>
      <c r="C261" s="71" t="str">
        <f>TEXT(VEND[[#This Row],[Fecha de Envío
Cotización]],"mmmm")</f>
        <v>abril</v>
      </c>
      <c r="D261" s="66" t="s">
        <v>1163</v>
      </c>
      <c r="E261" s="92" t="s">
        <v>83</v>
      </c>
      <c r="F261" s="92">
        <v>44305</v>
      </c>
      <c r="G261" s="125" t="str">
        <f>TEXT(VEND[[#This Row],[Fecha Recibe
O.C]],"mmmm")</f>
        <v>abril</v>
      </c>
      <c r="H261" s="112" t="s">
        <v>1203</v>
      </c>
      <c r="I261" s="112" t="s">
        <v>1241</v>
      </c>
      <c r="J261" s="112"/>
      <c r="K261" s="58">
        <v>7</v>
      </c>
      <c r="L261" s="123">
        <v>660</v>
      </c>
      <c r="M261" s="112" t="s">
        <v>16</v>
      </c>
      <c r="N261" s="112">
        <v>21</v>
      </c>
      <c r="O261" s="212">
        <f>IF(VEND[[#This Row],[STATUS]]="O.C",(VEND[[#This Row],[Fecha Recibe
O.C]]+VEND[[#This Row],[Dias
entrega ]]),"")</f>
        <v>44326</v>
      </c>
      <c r="P261" s="212">
        <v>44376</v>
      </c>
      <c r="Q261" s="58">
        <f>IFERROR(VEND[[#This Row],[Fecha de Despacho]]-VEND[[#This Row],[Fecha Estimada de Entrega a  Cliente]],"")</f>
        <v>50</v>
      </c>
      <c r="R2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61" s="112" t="str">
        <f>IF(VEND[[#This Row],[STATUS]]="O.C","APROBADO",IF(VEND[[#This Row],[STATUS]]="PERDIDO","PERDIDO",IF(VEND[[#This Row],[STATUS]]="EN ESPERA","EN ESPERA")))</f>
        <v>APROBADO</v>
      </c>
      <c r="T261" s="112" t="str">
        <f>IF(VEND[[#This Row],[STATUS]]="O.C","APROBADO",IF(VEND[[#This Row],[STATUS]]="PERDIDO","PERDIDO",IF(VEND[[#This Row],[STATUS]]="EN ESPERA","EN ESPERA")))</f>
        <v>APROBADO</v>
      </c>
      <c r="U261" s="55" t="s">
        <v>46</v>
      </c>
      <c r="V261" s="55" t="s">
        <v>46</v>
      </c>
      <c r="W261" s="55" t="s">
        <v>1409</v>
      </c>
      <c r="X261" s="112" t="s">
        <v>1673</v>
      </c>
    </row>
    <row r="262" spans="2:24" ht="15.75" x14ac:dyDescent="0.25">
      <c r="B262" s="71">
        <v>44301</v>
      </c>
      <c r="C262" s="71" t="str">
        <f>TEXT(VEND[[#This Row],[Fecha de Envío
Cotización]],"mmmm")</f>
        <v>abril</v>
      </c>
      <c r="D262" s="66" t="s">
        <v>945</v>
      </c>
      <c r="E262" s="92" t="s">
        <v>42</v>
      </c>
      <c r="F262" s="125" t="str">
        <f>IF(VEND[[#This Row],[STATUS]]="PERDIDO","N/A","En espera")</f>
        <v>N/A</v>
      </c>
      <c r="G262" s="125" t="str">
        <f>TEXT(VEND[[#This Row],[Fecha Recibe
O.C]],"mmmm")</f>
        <v>N/A</v>
      </c>
      <c r="H262" s="112">
        <v>1</v>
      </c>
      <c r="I262" s="112" t="s">
        <v>130</v>
      </c>
      <c r="J262" s="112"/>
      <c r="K262" s="58">
        <v>1</v>
      </c>
      <c r="L262" s="123">
        <v>73.8</v>
      </c>
      <c r="M262" s="112" t="s">
        <v>142</v>
      </c>
      <c r="N262" s="112">
        <v>35</v>
      </c>
      <c r="O262" s="212" t="str">
        <f>IF(VEND[[#This Row],[STATUS]]="O.C",(VEND[[#This Row],[Fecha Recibe
O.C]]+VEND[[#This Row],[Dias
entrega ]]),"")</f>
        <v/>
      </c>
      <c r="P262" s="212"/>
      <c r="Q262" s="58" t="str">
        <f>IFERROR(VEND[[#This Row],[Fecha de Despacho]]-VEND[[#This Row],[Fecha Estimada de Entrega a  Cliente]],"")</f>
        <v/>
      </c>
      <c r="R2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2" s="112" t="str">
        <f>IF(VEND[[#This Row],[STATUS]]="O.C","APROBADO",IF(VEND[[#This Row],[STATUS]]="PERDIDO","PERDIDO",IF(VEND[[#This Row],[STATUS]]="EN ESPERA","EN ESPERA")))</f>
        <v>PERDIDO</v>
      </c>
      <c r="T262" s="112" t="str">
        <f>IF(VEND[[#This Row],[STATUS]]="O.C","APROBADO",IF(VEND[[#This Row],[STATUS]]="PERDIDO","PERDIDO",IF(VEND[[#This Row],[STATUS]]="EN ESPERA","EN ESPERA")))</f>
        <v>PERDIDO</v>
      </c>
      <c r="U262" s="55" t="s">
        <v>23</v>
      </c>
      <c r="V262" s="55" t="s">
        <v>23</v>
      </c>
      <c r="W262" s="55" t="s">
        <v>1409</v>
      </c>
      <c r="X262" s="112"/>
    </row>
    <row r="263" spans="2:24" ht="15.75" x14ac:dyDescent="0.25">
      <c r="B263" s="71">
        <v>44301</v>
      </c>
      <c r="C263" s="71" t="str">
        <f>TEXT(VEND[[#This Row],[Fecha de Envío
Cotización]],"mmmm")</f>
        <v>abril</v>
      </c>
      <c r="D263" s="66" t="s">
        <v>945</v>
      </c>
      <c r="E263" s="92" t="s">
        <v>42</v>
      </c>
      <c r="F263" s="125" t="str">
        <f>IF(VEND[[#This Row],[STATUS]]="PERDIDO","N/A","En espera")</f>
        <v>N/A</v>
      </c>
      <c r="G263" s="125" t="str">
        <f>TEXT(VEND[[#This Row],[Fecha Recibe
O.C]],"mmmm")</f>
        <v>N/A</v>
      </c>
      <c r="H263" s="112">
        <v>5</v>
      </c>
      <c r="I263" s="112" t="s">
        <v>31</v>
      </c>
      <c r="J263" s="112"/>
      <c r="K263" s="58">
        <v>1</v>
      </c>
      <c r="L263" s="123">
        <v>803.88</v>
      </c>
      <c r="M263" s="112" t="s">
        <v>22</v>
      </c>
      <c r="N263" s="112">
        <v>0</v>
      </c>
      <c r="O263" s="212" t="str">
        <f>IF(VEND[[#This Row],[STATUS]]="O.C",(VEND[[#This Row],[Fecha Recibe
O.C]]+VEND[[#This Row],[Dias
entrega ]]),"")</f>
        <v/>
      </c>
      <c r="P263" s="212"/>
      <c r="Q263" s="58" t="str">
        <f>IFERROR(VEND[[#This Row],[Fecha de Despacho]]-VEND[[#This Row],[Fecha Estimada de Entrega a  Cliente]],"")</f>
        <v/>
      </c>
      <c r="R2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3" s="112" t="str">
        <f>IF(VEND[[#This Row],[STATUS]]="O.C","APROBADO",IF(VEND[[#This Row],[STATUS]]="PERDIDO","PERDIDO",IF(VEND[[#This Row],[STATUS]]="EN ESPERA","EN ESPERA")))</f>
        <v>PERDIDO</v>
      </c>
      <c r="T263" s="112" t="str">
        <f>IF(VEND[[#This Row],[STATUS]]="O.C","APROBADO",IF(VEND[[#This Row],[STATUS]]="PERDIDO","PERDIDO",IF(VEND[[#This Row],[STATUS]]="EN ESPERA","EN ESPERA")))</f>
        <v>PERDIDO</v>
      </c>
      <c r="U263" s="55" t="s">
        <v>23</v>
      </c>
      <c r="V263" s="55" t="s">
        <v>23</v>
      </c>
      <c r="W263" s="55" t="s">
        <v>1410</v>
      </c>
      <c r="X263" s="112"/>
    </row>
    <row r="264" spans="2:24" ht="15.75" x14ac:dyDescent="0.25">
      <c r="B264" s="71">
        <v>44301</v>
      </c>
      <c r="C264" s="71" t="str">
        <f>TEXT(VEND[[#This Row],[Fecha de Envío
Cotización]],"mmmm")</f>
        <v>abril</v>
      </c>
      <c r="D264" s="66" t="s">
        <v>50</v>
      </c>
      <c r="E264" s="92" t="s">
        <v>83</v>
      </c>
      <c r="F264" s="93">
        <v>44306</v>
      </c>
      <c r="G264" s="93" t="str">
        <f>TEXT(VEND[[#This Row],[Fecha Recibe
O.C]],"mmmm")</f>
        <v>abril</v>
      </c>
      <c r="H264" s="112">
        <v>20215</v>
      </c>
      <c r="I264" s="112" t="s">
        <v>123</v>
      </c>
      <c r="J264" s="112"/>
      <c r="K264" s="58">
        <v>1</v>
      </c>
      <c r="L264" s="123">
        <v>350</v>
      </c>
      <c r="M264" s="112" t="s">
        <v>22</v>
      </c>
      <c r="N264" s="112">
        <v>0</v>
      </c>
      <c r="O264" s="212">
        <f>IF(VEND[[#This Row],[STATUS]]="O.C",(VEND[[#This Row],[Fecha Recibe
O.C]]+VEND[[#This Row],[Dias
entrega ]]),"")</f>
        <v>44306</v>
      </c>
      <c r="P264" s="212">
        <v>44307</v>
      </c>
      <c r="Q264" s="58">
        <f>IFERROR(VEND[[#This Row],[Fecha de Despacho]]-VEND[[#This Row],[Fecha Estimada de Entrega a  Cliente]],"")</f>
        <v>1</v>
      </c>
      <c r="R2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64" s="112" t="str">
        <f>IF(VEND[[#This Row],[STATUS]]="O.C","APROBADO",IF(VEND[[#This Row],[STATUS]]="PERDIDO","PERDIDO",IF(VEND[[#This Row],[STATUS]]="EN ESPERA","EN ESPERA")))</f>
        <v>APROBADO</v>
      </c>
      <c r="T264" s="112" t="str">
        <f>IF(VEND[[#This Row],[STATUS]]="O.C","APROBADO",IF(VEND[[#This Row],[STATUS]]="PERDIDO","PERDIDO",IF(VEND[[#This Row],[STATUS]]="EN ESPERA","EN ESPERA")))</f>
        <v>APROBADO</v>
      </c>
      <c r="U264" s="55" t="s">
        <v>45</v>
      </c>
      <c r="V264" s="55" t="s">
        <v>47</v>
      </c>
      <c r="W264" s="55" t="s">
        <v>1401</v>
      </c>
      <c r="X264" s="112"/>
    </row>
    <row r="265" spans="2:24" ht="15.75" x14ac:dyDescent="0.25">
      <c r="B265" s="71">
        <v>44301</v>
      </c>
      <c r="C265" s="71" t="str">
        <f>TEXT(VEND[[#This Row],[Fecha de Envío
Cotización]],"mmmm")</f>
        <v>abril</v>
      </c>
      <c r="D265" s="66" t="s">
        <v>945</v>
      </c>
      <c r="E265" s="92" t="s">
        <v>42</v>
      </c>
      <c r="F265" s="125" t="str">
        <f>IF(VEND[[#This Row],[STATUS]]="PERDIDO","N/A","En espera")</f>
        <v>N/A</v>
      </c>
      <c r="G265" s="125" t="str">
        <f>TEXT(VEND[[#This Row],[Fecha Recibe
O.C]],"mmmm")</f>
        <v>N/A</v>
      </c>
      <c r="H265" s="112">
        <v>37008</v>
      </c>
      <c r="I265" s="112" t="s">
        <v>130</v>
      </c>
      <c r="J265" s="112"/>
      <c r="K265" s="58">
        <v>4</v>
      </c>
      <c r="L265" s="123">
        <v>8018.86</v>
      </c>
      <c r="M265" s="112" t="s">
        <v>51</v>
      </c>
      <c r="N265" s="112">
        <v>21</v>
      </c>
      <c r="O265" s="212" t="str">
        <f>IF(VEND[[#This Row],[STATUS]]="O.C",(VEND[[#This Row],[Fecha Recibe
O.C]]+VEND[[#This Row],[Dias
entrega ]]),"")</f>
        <v/>
      </c>
      <c r="P265" s="212"/>
      <c r="Q265" s="58" t="str">
        <f>IFERROR(VEND[[#This Row],[Fecha de Despacho]]-VEND[[#This Row],[Fecha Estimada de Entrega a  Cliente]],"")</f>
        <v/>
      </c>
      <c r="R2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5" s="112" t="str">
        <f>IF(VEND[[#This Row],[STATUS]]="O.C","APROBADO",IF(VEND[[#This Row],[STATUS]]="PERDIDO","PERDIDO",IF(VEND[[#This Row],[STATUS]]="EN ESPERA","EN ESPERA")))</f>
        <v>PERDIDO</v>
      </c>
      <c r="T265" s="112" t="str">
        <f>IF(VEND[[#This Row],[STATUS]]="O.C","APROBADO",IF(VEND[[#This Row],[STATUS]]="PERDIDO","PERDIDO",IF(VEND[[#This Row],[STATUS]]="EN ESPERA","EN ESPERA")))</f>
        <v>PERDIDO</v>
      </c>
      <c r="U265" s="55" t="s">
        <v>23</v>
      </c>
      <c r="V265" s="55" t="s">
        <v>23</v>
      </c>
      <c r="W265" s="55" t="s">
        <v>1409</v>
      </c>
      <c r="X265" s="112"/>
    </row>
    <row r="266" spans="2:24" ht="15.75" x14ac:dyDescent="0.25">
      <c r="B266" s="71">
        <v>44301</v>
      </c>
      <c r="C266" s="71" t="str">
        <f>TEXT(VEND[[#This Row],[Fecha de Envío
Cotización]],"mmmm")</f>
        <v>abril</v>
      </c>
      <c r="D266" s="66" t="s">
        <v>1163</v>
      </c>
      <c r="E266" s="92" t="s">
        <v>88</v>
      </c>
      <c r="F266" s="125" t="str">
        <f>IF(VEND[[#This Row],[STATUS]]="PERDIDO","N/A","En espera")</f>
        <v>En espera</v>
      </c>
      <c r="G266" s="125" t="str">
        <f>TEXT(VEND[[#This Row],[Fecha Recibe
O.C]],"mmmm")</f>
        <v>En espera</v>
      </c>
      <c r="H266" s="112" t="s">
        <v>1236</v>
      </c>
      <c r="I266" s="112" t="s">
        <v>1241</v>
      </c>
      <c r="J266" s="112"/>
      <c r="K266" s="58">
        <v>1</v>
      </c>
      <c r="L266" s="123">
        <v>380</v>
      </c>
      <c r="M266" s="112"/>
      <c r="N266" s="112"/>
      <c r="O266" s="212" t="str">
        <f>IF(VEND[[#This Row],[STATUS]]="O.C",(VEND[[#This Row],[Fecha Recibe
O.C]]+VEND[[#This Row],[Dias
entrega ]]),"")</f>
        <v/>
      </c>
      <c r="P266" s="212"/>
      <c r="Q266" s="58" t="str">
        <f>IFERROR(VEND[[#This Row],[Fecha de Despacho]]-VEND[[#This Row],[Fecha Estimada de Entrega a  Cliente]],"")</f>
        <v/>
      </c>
      <c r="R2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6" s="112" t="str">
        <f>IF(VEND[[#This Row],[STATUS]]="O.C","APROBADO",IF(VEND[[#This Row],[STATUS]]="PERDIDO","PERDIDO",IF(VEND[[#This Row],[STATUS]]="EN ESPERA","EN ESPERA")))</f>
        <v>EN ESPERA</v>
      </c>
      <c r="T266" s="112" t="str">
        <f>IF(VEND[[#This Row],[STATUS]]="O.C","APROBADO",IF(VEND[[#This Row],[STATUS]]="PERDIDO","PERDIDO",IF(VEND[[#This Row],[STATUS]]="EN ESPERA","EN ESPERA")))</f>
        <v>EN ESPERA</v>
      </c>
      <c r="U266" s="55" t="s">
        <v>23</v>
      </c>
      <c r="V266" s="55" t="s">
        <v>23</v>
      </c>
      <c r="W266" s="55" t="s">
        <v>1409</v>
      </c>
      <c r="X266" s="112"/>
    </row>
    <row r="267" spans="2:24" ht="15.75" x14ac:dyDescent="0.25">
      <c r="B267" s="71">
        <v>44302</v>
      </c>
      <c r="C267" s="71" t="str">
        <f>TEXT(VEND[[#This Row],[Fecha de Envío
Cotización]],"mmmm")</f>
        <v>abril</v>
      </c>
      <c r="D267" s="66" t="s">
        <v>41</v>
      </c>
      <c r="E267" s="92" t="s">
        <v>42</v>
      </c>
      <c r="F267" s="125" t="str">
        <f>IF(VEND[[#This Row],[STATUS]]="PERDIDO","N/A","En espera")</f>
        <v>N/A</v>
      </c>
      <c r="G267" s="125" t="str">
        <f>TEXT(VEND[[#This Row],[Fecha Recibe
O.C]],"mmmm")</f>
        <v>N/A</v>
      </c>
      <c r="H267" s="112">
        <v>3</v>
      </c>
      <c r="I267" s="112" t="s">
        <v>40</v>
      </c>
      <c r="J267" s="112"/>
      <c r="K267" s="58">
        <v>6</v>
      </c>
      <c r="L267" s="123">
        <v>2787.7109999999998</v>
      </c>
      <c r="M267" s="112" t="s">
        <v>22</v>
      </c>
      <c r="N267" s="112">
        <v>0</v>
      </c>
      <c r="O267" s="212" t="str">
        <f>IF(VEND[[#This Row],[STATUS]]="O.C",(VEND[[#This Row],[Fecha Recibe
O.C]]+VEND[[#This Row],[Dias
entrega ]]),"")</f>
        <v/>
      </c>
      <c r="P267" s="212"/>
      <c r="Q267" s="58" t="str">
        <f>IFERROR(VEND[[#This Row],[Fecha de Despacho]]-VEND[[#This Row],[Fecha Estimada de Entrega a  Cliente]],"")</f>
        <v/>
      </c>
      <c r="R2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7" s="112" t="str">
        <f>IF(VEND[[#This Row],[STATUS]]="O.C","APROBADO",IF(VEND[[#This Row],[STATUS]]="PERDIDO","PERDIDO",IF(VEND[[#This Row],[STATUS]]="EN ESPERA","EN ESPERA")))</f>
        <v>PERDIDO</v>
      </c>
      <c r="T267" s="112" t="str">
        <f>IF(VEND[[#This Row],[STATUS]]="O.C","APROBADO",IF(VEND[[#This Row],[STATUS]]="PERDIDO","PERDIDO",IF(VEND[[#This Row],[STATUS]]="EN ESPERA","EN ESPERA")))</f>
        <v>PERDIDO</v>
      </c>
      <c r="U267" s="55" t="s">
        <v>23</v>
      </c>
      <c r="V267" s="55" t="s">
        <v>23</v>
      </c>
      <c r="W267" s="112" t="s">
        <v>1401</v>
      </c>
      <c r="X267" s="112"/>
    </row>
    <row r="268" spans="2:24" ht="15.75" x14ac:dyDescent="0.25">
      <c r="B268" s="71">
        <v>44302</v>
      </c>
      <c r="C268" s="71" t="str">
        <f>TEXT(VEND[[#This Row],[Fecha de Envío
Cotización]],"mmmm")</f>
        <v>abril</v>
      </c>
      <c r="D268" s="66" t="s">
        <v>68</v>
      </c>
      <c r="E268" s="92" t="s">
        <v>42</v>
      </c>
      <c r="F268" s="92" t="str">
        <f>IF(VEND[[#This Row],[STATUS]]="PERDIDO","N/A","En espera")</f>
        <v>N/A</v>
      </c>
      <c r="G268" s="125" t="str">
        <f>TEXT(VEND[[#This Row],[Fecha Recibe
O.C]],"mmmm")</f>
        <v>N/A</v>
      </c>
      <c r="H268" s="112">
        <v>3</v>
      </c>
      <c r="I268" s="112" t="s">
        <v>138</v>
      </c>
      <c r="J268" s="112"/>
      <c r="K268" s="58">
        <v>1</v>
      </c>
      <c r="L268" s="123">
        <v>241.7</v>
      </c>
      <c r="M268" s="112" t="s">
        <v>73</v>
      </c>
      <c r="N268" s="112">
        <v>14</v>
      </c>
      <c r="O268" s="212" t="str">
        <f>IF(VEND[[#This Row],[STATUS]]="O.C",(VEND[[#This Row],[Fecha Recibe
O.C]]+VEND[[#This Row],[Dias
entrega ]]),"")</f>
        <v/>
      </c>
      <c r="P268" s="212"/>
      <c r="Q268" s="58" t="str">
        <f>IFERROR(VEND[[#This Row],[Fecha de Despacho]]-VEND[[#This Row],[Fecha Estimada de Entrega a  Cliente]],"")</f>
        <v/>
      </c>
      <c r="R2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8" s="112" t="str">
        <f>IF(VEND[[#This Row],[STATUS]]="O.C","APROBADO",IF(VEND[[#This Row],[STATUS]]="PERDIDO","PERDIDO",IF(VEND[[#This Row],[STATUS]]="EN ESPERA","EN ESPERA")))</f>
        <v>PERDIDO</v>
      </c>
      <c r="T268" s="112" t="str">
        <f>IF(VEND[[#This Row],[STATUS]]="O.C","APROBADO",IF(VEND[[#This Row],[STATUS]]="PERDIDO","PERDIDO",IF(VEND[[#This Row],[STATUS]]="EN ESPERA","EN ESPERA")))</f>
        <v>PERDIDO</v>
      </c>
      <c r="U268" s="112" t="s">
        <v>23</v>
      </c>
      <c r="V268" s="112" t="s">
        <v>23</v>
      </c>
      <c r="W268" s="112" t="s">
        <v>1402</v>
      </c>
      <c r="X268" s="112"/>
    </row>
    <row r="269" spans="2:24" ht="15.75" x14ac:dyDescent="0.25">
      <c r="B269" s="71">
        <v>44302</v>
      </c>
      <c r="C269" s="71" t="str">
        <f>TEXT(VEND[[#This Row],[Fecha de Envío
Cotización]],"mmmm")</f>
        <v>abril</v>
      </c>
      <c r="D269" s="66" t="s">
        <v>945</v>
      </c>
      <c r="E269" s="92" t="s">
        <v>42</v>
      </c>
      <c r="F269" s="125" t="str">
        <f>IF(VEND[[#This Row],[STATUS]]="PERDIDO","N/A","En espera")</f>
        <v>N/A</v>
      </c>
      <c r="G269" s="125" t="str">
        <f>TEXT(VEND[[#This Row],[Fecha Recibe
O.C]],"mmmm")</f>
        <v>N/A</v>
      </c>
      <c r="H269" s="112">
        <v>5</v>
      </c>
      <c r="I269" s="112" t="s">
        <v>130</v>
      </c>
      <c r="J269" s="112"/>
      <c r="K269" s="58">
        <v>2</v>
      </c>
      <c r="L269" s="123">
        <v>1566.9</v>
      </c>
      <c r="M269" s="112" t="s">
        <v>56</v>
      </c>
      <c r="N269" s="112">
        <v>42</v>
      </c>
      <c r="O269" s="212" t="str">
        <f>IF(VEND[[#This Row],[STATUS]]="O.C",(VEND[[#This Row],[Fecha Recibe
O.C]]+VEND[[#This Row],[Dias
entrega ]]),"")</f>
        <v/>
      </c>
      <c r="P269" s="212"/>
      <c r="Q269" s="58" t="str">
        <f>IFERROR(VEND[[#This Row],[Fecha de Despacho]]-VEND[[#This Row],[Fecha Estimada de Entrega a  Cliente]],"")</f>
        <v/>
      </c>
      <c r="R2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69" s="112" t="str">
        <f>IF(VEND[[#This Row],[STATUS]]="O.C","APROBADO",IF(VEND[[#This Row],[STATUS]]="PERDIDO","PERDIDO",IF(VEND[[#This Row],[STATUS]]="EN ESPERA","EN ESPERA")))</f>
        <v>PERDIDO</v>
      </c>
      <c r="T269" s="112" t="str">
        <f>IF(VEND[[#This Row],[STATUS]]="O.C","APROBADO",IF(VEND[[#This Row],[STATUS]]="PERDIDO","PERDIDO",IF(VEND[[#This Row],[STATUS]]="EN ESPERA","EN ESPERA")))</f>
        <v>PERDIDO</v>
      </c>
      <c r="U269" s="55" t="s">
        <v>23</v>
      </c>
      <c r="V269" s="55" t="s">
        <v>23</v>
      </c>
      <c r="W269" s="55" t="s">
        <v>1409</v>
      </c>
      <c r="X269" s="112"/>
    </row>
    <row r="270" spans="2:24" ht="15.75" x14ac:dyDescent="0.25">
      <c r="B270" s="71">
        <v>44302</v>
      </c>
      <c r="C270" s="71" t="str">
        <f>TEXT(VEND[[#This Row],[Fecha de Envío
Cotización]],"mmmm")</f>
        <v>abril</v>
      </c>
      <c r="D270" s="66" t="s">
        <v>945</v>
      </c>
      <c r="E270" s="92" t="s">
        <v>42</v>
      </c>
      <c r="F270" s="92" t="str">
        <f>IF(VEND[[#This Row],[STATUS]]="PERDIDO","N/A","En espera")</f>
        <v>N/A</v>
      </c>
      <c r="G270" s="125" t="str">
        <f>TEXT(VEND[[#This Row],[Fecha Recibe
O.C]],"mmmm")</f>
        <v>N/A</v>
      </c>
      <c r="H270" s="112">
        <v>6</v>
      </c>
      <c r="I270" s="112" t="s">
        <v>31</v>
      </c>
      <c r="J270" s="112"/>
      <c r="K270" s="58">
        <v>4</v>
      </c>
      <c r="L270" s="123">
        <v>1263.24</v>
      </c>
      <c r="M270" s="112" t="s">
        <v>22</v>
      </c>
      <c r="N270" s="112">
        <v>0</v>
      </c>
      <c r="O270" s="212" t="str">
        <f>IF(VEND[[#This Row],[STATUS]]="O.C",(VEND[[#This Row],[Fecha Recibe
O.C]]+VEND[[#This Row],[Dias
entrega ]]),"")</f>
        <v/>
      </c>
      <c r="P270" s="212"/>
      <c r="Q270" s="58" t="str">
        <f>IFERROR(VEND[[#This Row],[Fecha de Despacho]]-VEND[[#This Row],[Fecha Estimada de Entrega a  Cliente]],"")</f>
        <v/>
      </c>
      <c r="R2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0" s="112" t="str">
        <f>IF(VEND[[#This Row],[STATUS]]="O.C","APROBADO",IF(VEND[[#This Row],[STATUS]]="PERDIDO","PERDIDO",IF(VEND[[#This Row],[STATUS]]="EN ESPERA","EN ESPERA")))</f>
        <v>PERDIDO</v>
      </c>
      <c r="T270" s="112" t="str">
        <f>IF(VEND[[#This Row],[STATUS]]="O.C","APROBADO",IF(VEND[[#This Row],[STATUS]]="PERDIDO","PERDIDO",IF(VEND[[#This Row],[STATUS]]="EN ESPERA","EN ESPERA")))</f>
        <v>PERDIDO</v>
      </c>
      <c r="U270" s="112" t="s">
        <v>23</v>
      </c>
      <c r="V270" s="112" t="s">
        <v>23</v>
      </c>
      <c r="W270" s="112" t="s">
        <v>1410</v>
      </c>
      <c r="X270" s="112"/>
    </row>
    <row r="271" spans="2:24" ht="15.75" x14ac:dyDescent="0.25">
      <c r="B271" s="71">
        <v>44302</v>
      </c>
      <c r="C271" s="71" t="str">
        <f>TEXT(VEND[[#This Row],[Fecha de Envío
Cotización]],"mmmm")</f>
        <v>abril</v>
      </c>
      <c r="D271" s="66" t="s">
        <v>41</v>
      </c>
      <c r="E271" s="92" t="s">
        <v>42</v>
      </c>
      <c r="F271" s="125" t="str">
        <f>IF(VEND[[#This Row],[STATUS]]="PERDIDO","N/A","En espera")</f>
        <v>N/A</v>
      </c>
      <c r="G271" s="125" t="str">
        <f>TEXT(VEND[[#This Row],[Fecha Recibe
O.C]],"mmmm")</f>
        <v>N/A</v>
      </c>
      <c r="H271" s="112">
        <v>6</v>
      </c>
      <c r="I271" s="112" t="s">
        <v>76</v>
      </c>
      <c r="J271" s="112"/>
      <c r="K271" s="58">
        <v>1</v>
      </c>
      <c r="L271" s="123">
        <v>296.77999999999997</v>
      </c>
      <c r="M271" s="112" t="s">
        <v>36</v>
      </c>
      <c r="N271" s="112">
        <v>28</v>
      </c>
      <c r="O271" s="212" t="str">
        <f>IF(VEND[[#This Row],[STATUS]]="O.C",(VEND[[#This Row],[Fecha Recibe
O.C]]+VEND[[#This Row],[Dias
entrega ]]),"")</f>
        <v/>
      </c>
      <c r="P271" s="212"/>
      <c r="Q271" s="58" t="str">
        <f>IFERROR(VEND[[#This Row],[Fecha de Despacho]]-VEND[[#This Row],[Fecha Estimada de Entrega a  Cliente]],"")</f>
        <v/>
      </c>
      <c r="R2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1" s="112" t="str">
        <f>IF(VEND[[#This Row],[STATUS]]="O.C","APROBADO",IF(VEND[[#This Row],[STATUS]]="PERDIDO","PERDIDO",IF(VEND[[#This Row],[STATUS]]="EN ESPERA","EN ESPERA")))</f>
        <v>PERDIDO</v>
      </c>
      <c r="T271" s="112" t="str">
        <f>IF(VEND[[#This Row],[STATUS]]="O.C","APROBADO",IF(VEND[[#This Row],[STATUS]]="PERDIDO","PERDIDO",IF(VEND[[#This Row],[STATUS]]="EN ESPERA","EN ESPERA")))</f>
        <v>PERDIDO</v>
      </c>
      <c r="U271" s="55" t="s">
        <v>23</v>
      </c>
      <c r="V271" s="55" t="s">
        <v>23</v>
      </c>
      <c r="W271" s="55" t="s">
        <v>1402</v>
      </c>
      <c r="X271" s="112" t="s">
        <v>1701</v>
      </c>
    </row>
    <row r="272" spans="2:24" ht="15.75" x14ac:dyDescent="0.25">
      <c r="B272" s="71">
        <v>44302</v>
      </c>
      <c r="C272" s="71" t="str">
        <f>TEXT(VEND[[#This Row],[Fecha de Envío
Cotización]],"mmmm")</f>
        <v>abril</v>
      </c>
      <c r="D272" s="66" t="s">
        <v>50</v>
      </c>
      <c r="E272" s="125" t="s">
        <v>42</v>
      </c>
      <c r="F272" s="125" t="str">
        <f>IF(VEND[[#This Row],[STATUS]]="PERDIDO","N/A","En espera")</f>
        <v>N/A</v>
      </c>
      <c r="G272" s="125" t="str">
        <f>TEXT(VEND[[#This Row],[Fecha Recibe
O.C]],"mmmm")</f>
        <v>N/A</v>
      </c>
      <c r="H272" s="112">
        <v>1501</v>
      </c>
      <c r="I272" s="112" t="s">
        <v>109</v>
      </c>
      <c r="J272" s="112"/>
      <c r="K272" s="58">
        <v>1</v>
      </c>
      <c r="L272" s="123">
        <v>3691.74</v>
      </c>
      <c r="M272" s="112" t="s">
        <v>51</v>
      </c>
      <c r="N272" s="112">
        <v>21</v>
      </c>
      <c r="O272" s="212" t="str">
        <f>IF(VEND[[#This Row],[STATUS]]="O.C",(VEND[[#This Row],[Fecha Recibe
O.C]]+VEND[[#This Row],[Dias
entrega ]]),"")</f>
        <v/>
      </c>
      <c r="P272" s="212"/>
      <c r="Q272" s="58" t="str">
        <f>IFERROR(VEND[[#This Row],[Fecha de Despacho]]-VEND[[#This Row],[Fecha Estimada de Entrega a  Cliente]],"")</f>
        <v/>
      </c>
      <c r="R2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2" s="112" t="str">
        <f>IF(VEND[[#This Row],[STATUS]]="O.C","APROBADO",IF(VEND[[#This Row],[STATUS]]="PERDIDO","PERDIDO",IF(VEND[[#This Row],[STATUS]]="EN ESPERA","EN ESPERA")))</f>
        <v>PERDIDO</v>
      </c>
      <c r="T272" s="112" t="str">
        <f>IF(VEND[[#This Row],[STATUS]]="O.C","APROBADO",IF(VEND[[#This Row],[STATUS]]="PERDIDO","PERDIDO",IF(VEND[[#This Row],[STATUS]]="EN ESPERA","EN ESPERA")))</f>
        <v>PERDIDO</v>
      </c>
      <c r="U272" s="55" t="s">
        <v>23</v>
      </c>
      <c r="V272" s="55" t="s">
        <v>23</v>
      </c>
      <c r="W272" s="55" t="s">
        <v>1401</v>
      </c>
      <c r="X272" s="112"/>
    </row>
    <row r="273" spans="2:24" ht="15.75" x14ac:dyDescent="0.25">
      <c r="B273" s="71">
        <v>44302</v>
      </c>
      <c r="C273" s="71" t="str">
        <f>TEXT(VEND[[#This Row],[Fecha de Envío
Cotización]],"mmmm")</f>
        <v>abril</v>
      </c>
      <c r="D273" s="66" t="s">
        <v>50</v>
      </c>
      <c r="E273" s="125" t="s">
        <v>42</v>
      </c>
      <c r="F273" s="125" t="str">
        <f>IF(VEND[[#This Row],[STATUS]]="PERDIDO","N/A","En espera")</f>
        <v>N/A</v>
      </c>
      <c r="G273" s="125" t="str">
        <f>TEXT(VEND[[#This Row],[Fecha Recibe
O.C]],"mmmm")</f>
        <v>N/A</v>
      </c>
      <c r="H273" s="112">
        <v>1502</v>
      </c>
      <c r="I273" s="55" t="s">
        <v>109</v>
      </c>
      <c r="J273" s="112"/>
      <c r="K273" s="58">
        <v>2</v>
      </c>
      <c r="L273" s="123">
        <v>929.68</v>
      </c>
      <c r="M273" s="55" t="s">
        <v>51</v>
      </c>
      <c r="N273" s="112">
        <v>21</v>
      </c>
      <c r="O273" s="212" t="str">
        <f>IF(VEND[[#This Row],[STATUS]]="O.C",(VEND[[#This Row],[Fecha Recibe
O.C]]+VEND[[#This Row],[Dias
entrega ]]),"")</f>
        <v/>
      </c>
      <c r="P273" s="212"/>
      <c r="Q273" s="58" t="str">
        <f>IFERROR(VEND[[#This Row],[Fecha de Despacho]]-VEND[[#This Row],[Fecha Estimada de Entrega a  Cliente]],"")</f>
        <v/>
      </c>
      <c r="R2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3" s="112" t="str">
        <f>IF(VEND[[#This Row],[STATUS]]="O.C","APROBADO",IF(VEND[[#This Row],[STATUS]]="PERDIDO","PERDIDO",IF(VEND[[#This Row],[STATUS]]="EN ESPERA","EN ESPERA")))</f>
        <v>PERDIDO</v>
      </c>
      <c r="T273" s="112" t="str">
        <f>IF(VEND[[#This Row],[STATUS]]="O.C","APROBADO",IF(VEND[[#This Row],[STATUS]]="PERDIDO","PERDIDO",IF(VEND[[#This Row],[STATUS]]="EN ESPERA","EN ESPERA")))</f>
        <v>PERDIDO</v>
      </c>
      <c r="U273" s="55" t="s">
        <v>23</v>
      </c>
      <c r="V273" s="55" t="s">
        <v>23</v>
      </c>
      <c r="W273" s="55" t="s">
        <v>1401</v>
      </c>
      <c r="X273" s="112"/>
    </row>
    <row r="274" spans="2:24" ht="15.75" x14ac:dyDescent="0.25">
      <c r="B274" s="65">
        <v>44302</v>
      </c>
      <c r="C274" s="71" t="str">
        <f>TEXT(VEND[[#This Row],[Fecha de Envío
Cotización]],"mmmm")</f>
        <v>abril</v>
      </c>
      <c r="D274" s="66" t="s">
        <v>50</v>
      </c>
      <c r="E274" s="92" t="s">
        <v>42</v>
      </c>
      <c r="F274" s="125" t="str">
        <f>IF(VEND[[#This Row],[STATUS]]="PERDIDO","N/A","En espera")</f>
        <v>N/A</v>
      </c>
      <c r="G274" s="125" t="str">
        <f>TEXT(VEND[[#This Row],[Fecha Recibe
O.C]],"mmmm")</f>
        <v>N/A</v>
      </c>
      <c r="H274" s="112">
        <v>1504</v>
      </c>
      <c r="I274" s="112" t="s">
        <v>109</v>
      </c>
      <c r="J274" s="55"/>
      <c r="K274" s="58">
        <v>1</v>
      </c>
      <c r="L274" s="123">
        <v>952.2</v>
      </c>
      <c r="M274" s="55" t="s">
        <v>51</v>
      </c>
      <c r="N274" s="112">
        <v>21</v>
      </c>
      <c r="O274" s="212" t="str">
        <f>IF(VEND[[#This Row],[STATUS]]="O.C",(VEND[[#This Row],[Fecha Recibe
O.C]]+VEND[[#This Row],[Dias
entrega ]]),"")</f>
        <v/>
      </c>
      <c r="P274" s="212"/>
      <c r="Q274" s="58" t="str">
        <f>IFERROR(VEND[[#This Row],[Fecha de Despacho]]-VEND[[#This Row],[Fecha Estimada de Entrega a  Cliente]],"")</f>
        <v/>
      </c>
      <c r="R2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4" s="55" t="str">
        <f>IF(VEND[[#This Row],[STATUS]]="O.C","APROBADO",IF(VEND[[#This Row],[STATUS]]="PERDIDO","PERDIDO",IF(VEND[[#This Row],[STATUS]]="EN ESPERA","EN ESPERA")))</f>
        <v>PERDIDO</v>
      </c>
      <c r="T274" s="55" t="str">
        <f>IF(VEND[[#This Row],[STATUS]]="O.C","APROBADO",IF(VEND[[#This Row],[STATUS]]="PERDIDO","PERDIDO",IF(VEND[[#This Row],[STATUS]]="EN ESPERA","EN ESPERA")))</f>
        <v>PERDIDO</v>
      </c>
      <c r="U274" s="55" t="s">
        <v>23</v>
      </c>
      <c r="V274" s="55" t="s">
        <v>23</v>
      </c>
      <c r="W274" s="112" t="s">
        <v>1401</v>
      </c>
      <c r="X274" s="55"/>
    </row>
    <row r="275" spans="2:24" ht="15.75" x14ac:dyDescent="0.25">
      <c r="B275" s="71">
        <v>44302</v>
      </c>
      <c r="C275" s="71" t="str">
        <f>TEXT(VEND[[#This Row],[Fecha de Envío
Cotización]],"mmmm")</f>
        <v>abril</v>
      </c>
      <c r="D275" s="66" t="s">
        <v>68</v>
      </c>
      <c r="E275" s="92" t="s">
        <v>42</v>
      </c>
      <c r="F275" s="125" t="str">
        <f>IF(VEND[[#This Row],[STATUS]]="PERDIDO","N/A","En espera")</f>
        <v>N/A</v>
      </c>
      <c r="G275" s="125" t="str">
        <f>TEXT(VEND[[#This Row],[Fecha Recibe
O.C]],"mmmm")</f>
        <v>N/A</v>
      </c>
      <c r="H275" s="112">
        <v>2601</v>
      </c>
      <c r="I275" s="55" t="s">
        <v>138</v>
      </c>
      <c r="J275" s="112"/>
      <c r="K275" s="58">
        <v>3</v>
      </c>
      <c r="L275" s="123">
        <v>181.52</v>
      </c>
      <c r="M275" s="112" t="s">
        <v>134</v>
      </c>
      <c r="N275" s="112">
        <v>28</v>
      </c>
      <c r="O275" s="212" t="str">
        <f>IF(VEND[[#This Row],[STATUS]]="O.C",(VEND[[#This Row],[Fecha Recibe
O.C]]+VEND[[#This Row],[Dias
entrega ]]),"")</f>
        <v/>
      </c>
      <c r="P275" s="212"/>
      <c r="Q275" s="58" t="str">
        <f>IFERROR(VEND[[#This Row],[Fecha de Despacho]]-VEND[[#This Row],[Fecha Estimada de Entrega a  Cliente]],"")</f>
        <v/>
      </c>
      <c r="R2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5" s="55" t="str">
        <f>IF(VEND[[#This Row],[STATUS]]="O.C","APROBADO",IF(VEND[[#This Row],[STATUS]]="PERDIDO","PERDIDO",IF(VEND[[#This Row],[STATUS]]="EN ESPERA","EN ESPERA")))</f>
        <v>PERDIDO</v>
      </c>
      <c r="T275" s="55" t="str">
        <f>IF(VEND[[#This Row],[STATUS]]="O.C","APROBADO",IF(VEND[[#This Row],[STATUS]]="PERDIDO","PERDIDO",IF(VEND[[#This Row],[STATUS]]="EN ESPERA","EN ESPERA")))</f>
        <v>PERDIDO</v>
      </c>
      <c r="U275" s="112" t="s">
        <v>23</v>
      </c>
      <c r="V275" s="112" t="s">
        <v>23</v>
      </c>
      <c r="W275" s="112" t="s">
        <v>1402</v>
      </c>
      <c r="X275" s="112"/>
    </row>
    <row r="276" spans="2:24" ht="15.75" x14ac:dyDescent="0.25">
      <c r="B276" s="71">
        <v>44302</v>
      </c>
      <c r="C276" s="71" t="str">
        <f>TEXT(VEND[[#This Row],[Fecha de Envío
Cotización]],"mmmm")</f>
        <v>abril</v>
      </c>
      <c r="D276" s="66" t="s">
        <v>1163</v>
      </c>
      <c r="E276" s="92" t="s">
        <v>88</v>
      </c>
      <c r="F276" s="125" t="str">
        <f>IF(VEND[[#This Row],[STATUS]]="PERDIDO","N/A","En espera")</f>
        <v>En espera</v>
      </c>
      <c r="G276" s="125" t="str">
        <f>TEXT(VEND[[#This Row],[Fecha Recibe
O.C]],"mmmm")</f>
        <v>En espera</v>
      </c>
      <c r="H276" s="112" t="s">
        <v>1237</v>
      </c>
      <c r="I276" s="55" t="s">
        <v>1241</v>
      </c>
      <c r="J276" s="112"/>
      <c r="K276" s="58">
        <v>1</v>
      </c>
      <c r="L276" s="123">
        <v>1589.2</v>
      </c>
      <c r="M276" s="55"/>
      <c r="N276" s="112"/>
      <c r="O276" s="212" t="str">
        <f>IF(VEND[[#This Row],[STATUS]]="O.C",(VEND[[#This Row],[Fecha Recibe
O.C]]+VEND[[#This Row],[Dias
entrega ]]),"")</f>
        <v/>
      </c>
      <c r="P276" s="212"/>
      <c r="Q276" s="58" t="str">
        <f>IFERROR(VEND[[#This Row],[Fecha de Despacho]]-VEND[[#This Row],[Fecha Estimada de Entrega a  Cliente]],"")</f>
        <v/>
      </c>
      <c r="R2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6" s="55" t="str">
        <f>IF(VEND[[#This Row],[STATUS]]="O.C","APROBADO",IF(VEND[[#This Row],[STATUS]]="PERDIDO","PERDIDO",IF(VEND[[#This Row],[STATUS]]="EN ESPERA","EN ESPERA")))</f>
        <v>EN ESPERA</v>
      </c>
      <c r="T276" s="55" t="str">
        <f>IF(VEND[[#This Row],[STATUS]]="O.C","APROBADO",IF(VEND[[#This Row],[STATUS]]="PERDIDO","PERDIDO",IF(VEND[[#This Row],[STATUS]]="EN ESPERA","EN ESPERA")))</f>
        <v>EN ESPERA</v>
      </c>
      <c r="U276" s="112" t="s">
        <v>23</v>
      </c>
      <c r="V276" s="112" t="s">
        <v>23</v>
      </c>
      <c r="W276" s="112" t="s">
        <v>1409</v>
      </c>
      <c r="X276" s="112"/>
    </row>
    <row r="277" spans="2:24" ht="15.75" x14ac:dyDescent="0.25">
      <c r="B277" s="71">
        <v>44302</v>
      </c>
      <c r="C277" s="71" t="str">
        <f>TEXT(VEND[[#This Row],[Fecha de Envío
Cotización]],"mmmm")</f>
        <v>abril</v>
      </c>
      <c r="D277" s="66" t="s">
        <v>1163</v>
      </c>
      <c r="E277" s="92" t="s">
        <v>88</v>
      </c>
      <c r="F277" s="125" t="str">
        <f>IF(VEND[[#This Row],[STATUS]]="PERDIDO","N/A","En espera")</f>
        <v>En espera</v>
      </c>
      <c r="G277" s="125" t="str">
        <f>TEXT(VEND[[#This Row],[Fecha Recibe
O.C]],"mmmm")</f>
        <v>En espera</v>
      </c>
      <c r="H277" s="112" t="s">
        <v>1238</v>
      </c>
      <c r="I277" s="112" t="s">
        <v>1241</v>
      </c>
      <c r="J277" s="112"/>
      <c r="K277" s="58">
        <v>1</v>
      </c>
      <c r="L277" s="123">
        <v>1674.74</v>
      </c>
      <c r="M277" s="55"/>
      <c r="N277" s="112"/>
      <c r="O277" s="212" t="str">
        <f>IF(VEND[[#This Row],[STATUS]]="O.C",(VEND[[#This Row],[Fecha Recibe
O.C]]+VEND[[#This Row],[Dias
entrega ]]),"")</f>
        <v/>
      </c>
      <c r="P277" s="212"/>
      <c r="Q277" s="58" t="str">
        <f>IFERROR(VEND[[#This Row],[Fecha de Despacho]]-VEND[[#This Row],[Fecha Estimada de Entrega a  Cliente]],"")</f>
        <v/>
      </c>
      <c r="R2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7" s="55" t="str">
        <f>IF(VEND[[#This Row],[STATUS]]="O.C","APROBADO",IF(VEND[[#This Row],[STATUS]]="PERDIDO","PERDIDO",IF(VEND[[#This Row],[STATUS]]="EN ESPERA","EN ESPERA")))</f>
        <v>EN ESPERA</v>
      </c>
      <c r="T277" s="55" t="str">
        <f>IF(VEND[[#This Row],[STATUS]]="O.C","APROBADO",IF(VEND[[#This Row],[STATUS]]="PERDIDO","PERDIDO",IF(VEND[[#This Row],[STATUS]]="EN ESPERA","EN ESPERA")))</f>
        <v>EN ESPERA</v>
      </c>
      <c r="U277" s="55" t="s">
        <v>23</v>
      </c>
      <c r="V277" s="55" t="s">
        <v>23</v>
      </c>
      <c r="W277" s="112" t="s">
        <v>1409</v>
      </c>
      <c r="X277" s="112"/>
    </row>
    <row r="278" spans="2:24" ht="15.75" x14ac:dyDescent="0.25">
      <c r="B278" s="71">
        <v>44305</v>
      </c>
      <c r="C278" s="71" t="str">
        <f>TEXT(VEND[[#This Row],[Fecha de Envío
Cotización]],"mmmm")</f>
        <v>abril</v>
      </c>
      <c r="D278" s="66" t="s">
        <v>945</v>
      </c>
      <c r="E278" s="92" t="s">
        <v>88</v>
      </c>
      <c r="F278" s="125" t="str">
        <f>IF(VEND[[#This Row],[STATUS]]="PERDIDO","N/A","En espera")</f>
        <v>En espera</v>
      </c>
      <c r="G278" s="125" t="str">
        <f>TEXT(VEND[[#This Row],[Fecha Recibe
O.C]],"mmmm")</f>
        <v>En espera</v>
      </c>
      <c r="H278" s="112">
        <v>6001</v>
      </c>
      <c r="I278" s="112" t="s">
        <v>143</v>
      </c>
      <c r="J278" s="112"/>
      <c r="K278" s="58">
        <v>3</v>
      </c>
      <c r="L278" s="123">
        <v>945.36</v>
      </c>
      <c r="M278" s="55" t="s">
        <v>124</v>
      </c>
      <c r="N278" s="112">
        <v>35</v>
      </c>
      <c r="O278" s="212" t="str">
        <f>IF(VEND[[#This Row],[STATUS]]="O.C",(VEND[[#This Row],[Fecha Recibe
O.C]]+VEND[[#This Row],[Dias
entrega ]]),"")</f>
        <v/>
      </c>
      <c r="P278" s="212"/>
      <c r="Q278" s="58" t="str">
        <f>IFERROR(VEND[[#This Row],[Fecha de Despacho]]-VEND[[#This Row],[Fecha Estimada de Entrega a  Cliente]],"")</f>
        <v/>
      </c>
      <c r="R2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8" s="55" t="str">
        <f>IF(VEND[[#This Row],[STATUS]]="O.C","APROBADO",IF(VEND[[#This Row],[STATUS]]="PERDIDO","PERDIDO",IF(VEND[[#This Row],[STATUS]]="EN ESPERA","EN ESPERA")))</f>
        <v>EN ESPERA</v>
      </c>
      <c r="T278" s="55" t="str">
        <f>IF(VEND[[#This Row],[STATUS]]="O.C","APROBADO",IF(VEND[[#This Row],[STATUS]]="PERDIDO","PERDIDO",IF(VEND[[#This Row],[STATUS]]="EN ESPERA","EN ESPERA")))</f>
        <v>EN ESPERA</v>
      </c>
      <c r="U278" s="55" t="s">
        <v>23</v>
      </c>
      <c r="V278" s="55" t="s">
        <v>23</v>
      </c>
      <c r="W278" s="55" t="s">
        <v>1403</v>
      </c>
      <c r="X278" s="112"/>
    </row>
    <row r="279" spans="2:24" ht="15.75" x14ac:dyDescent="0.25">
      <c r="B279" s="71">
        <v>44306</v>
      </c>
      <c r="C279" s="71" t="str">
        <f>TEXT(VEND[[#This Row],[Fecha de Envío
Cotización]],"mmmm")</f>
        <v>abril</v>
      </c>
      <c r="D279" s="66" t="s">
        <v>50</v>
      </c>
      <c r="E279" s="92" t="s">
        <v>42</v>
      </c>
      <c r="F279" s="125" t="str">
        <f>IF(VEND[[#This Row],[STATUS]]="PERDIDO","N/A","En espera")</f>
        <v>N/A</v>
      </c>
      <c r="G279" s="125" t="str">
        <f>TEXT(VEND[[#This Row],[Fecha Recibe
O.C]],"mmmm")</f>
        <v>N/A</v>
      </c>
      <c r="H279" s="112">
        <v>1506</v>
      </c>
      <c r="I279" s="112" t="s">
        <v>109</v>
      </c>
      <c r="J279" s="112"/>
      <c r="K279" s="58">
        <v>1</v>
      </c>
      <c r="L279" s="123">
        <v>2294.15</v>
      </c>
      <c r="M279" s="55" t="s">
        <v>134</v>
      </c>
      <c r="N279" s="112">
        <v>28</v>
      </c>
      <c r="O279" s="212" t="str">
        <f>IF(VEND[[#This Row],[STATUS]]="O.C",(VEND[[#This Row],[Fecha Recibe
O.C]]+VEND[[#This Row],[Dias
entrega ]]),"")</f>
        <v/>
      </c>
      <c r="P279" s="212"/>
      <c r="Q279" s="58" t="str">
        <f>IFERROR(VEND[[#This Row],[Fecha de Despacho]]-VEND[[#This Row],[Fecha Estimada de Entrega a  Cliente]],"")</f>
        <v/>
      </c>
      <c r="R2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79" s="55" t="str">
        <f>IF(VEND[[#This Row],[STATUS]]="O.C","APROBADO",IF(VEND[[#This Row],[STATUS]]="PERDIDO","PERDIDO",IF(VEND[[#This Row],[STATUS]]="EN ESPERA","EN ESPERA")))</f>
        <v>PERDIDO</v>
      </c>
      <c r="T279" s="55" t="str">
        <f>IF(VEND[[#This Row],[STATUS]]="O.C","APROBADO",IF(VEND[[#This Row],[STATUS]]="PERDIDO","PERDIDO",IF(VEND[[#This Row],[STATUS]]="EN ESPERA","EN ESPERA")))</f>
        <v>PERDIDO</v>
      </c>
      <c r="U279" s="55" t="s">
        <v>23</v>
      </c>
      <c r="V279" s="55" t="s">
        <v>23</v>
      </c>
      <c r="W279" s="55" t="s">
        <v>1401</v>
      </c>
      <c r="X279" s="112"/>
    </row>
    <row r="280" spans="2:24" ht="15.75" x14ac:dyDescent="0.25">
      <c r="B280" s="71">
        <v>44306</v>
      </c>
      <c r="C280" s="71" t="str">
        <f>TEXT(VEND[[#This Row],[Fecha de Envío
Cotización]],"mmmm")</f>
        <v>abril</v>
      </c>
      <c r="D280" s="66" t="s">
        <v>50</v>
      </c>
      <c r="E280" s="92" t="s">
        <v>42</v>
      </c>
      <c r="F280" s="125" t="str">
        <f>IF(VEND[[#This Row],[STATUS]]="PERDIDO","N/A","En espera")</f>
        <v>N/A</v>
      </c>
      <c r="G280" s="125" t="str">
        <f>TEXT(VEND[[#This Row],[Fecha Recibe
O.C]],"mmmm")</f>
        <v>N/A</v>
      </c>
      <c r="H280" s="112">
        <v>1507</v>
      </c>
      <c r="I280" s="55" t="s">
        <v>109</v>
      </c>
      <c r="J280" s="112"/>
      <c r="K280" s="58">
        <v>1</v>
      </c>
      <c r="L280" s="123">
        <v>264.75</v>
      </c>
      <c r="M280" s="55" t="s">
        <v>22</v>
      </c>
      <c r="N280" s="112">
        <v>0</v>
      </c>
      <c r="O280" s="212" t="str">
        <f>IF(VEND[[#This Row],[STATUS]]="O.C",(VEND[[#This Row],[Fecha Recibe
O.C]]+VEND[[#This Row],[Dias
entrega ]]),"")</f>
        <v/>
      </c>
      <c r="P280" s="212"/>
      <c r="Q280" s="58" t="str">
        <f>IFERROR(VEND[[#This Row],[Fecha de Despacho]]-VEND[[#This Row],[Fecha Estimada de Entrega a  Cliente]],"")</f>
        <v/>
      </c>
      <c r="R2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0" s="55" t="str">
        <f>IF(VEND[[#This Row],[STATUS]]="O.C","APROBADO",IF(VEND[[#This Row],[STATUS]]="PERDIDO","PERDIDO",IF(VEND[[#This Row],[STATUS]]="EN ESPERA","EN ESPERA")))</f>
        <v>PERDIDO</v>
      </c>
      <c r="T280" s="55" t="str">
        <f>IF(VEND[[#This Row],[STATUS]]="O.C","APROBADO",IF(VEND[[#This Row],[STATUS]]="PERDIDO","PERDIDO",IF(VEND[[#This Row],[STATUS]]="EN ESPERA","EN ESPERA")))</f>
        <v>PERDIDO</v>
      </c>
      <c r="U280" s="55" t="s">
        <v>23</v>
      </c>
      <c r="V280" s="55" t="s">
        <v>23</v>
      </c>
      <c r="W280" s="55" t="s">
        <v>1401</v>
      </c>
      <c r="X280" s="112"/>
    </row>
    <row r="281" spans="2:24" ht="15.75" x14ac:dyDescent="0.25">
      <c r="B281" s="71">
        <v>44307</v>
      </c>
      <c r="C281" s="71" t="str">
        <f>TEXT(VEND[[#This Row],[Fecha de Envío
Cotización]],"mmmm")</f>
        <v>abril</v>
      </c>
      <c r="D281" s="66" t="s">
        <v>50</v>
      </c>
      <c r="E281" s="92" t="s">
        <v>42</v>
      </c>
      <c r="F281" s="115" t="str">
        <f>IF(VEND[[#This Row],[STATUS]]="PERDIDO","N/A","En espera")</f>
        <v>N/A</v>
      </c>
      <c r="G281" s="125" t="str">
        <f>TEXT(VEND[[#This Row],[Fecha Recibe
O.C]],"mmmm")</f>
        <v>N/A</v>
      </c>
      <c r="H281" s="112">
        <v>1508</v>
      </c>
      <c r="I281" s="55" t="s">
        <v>33</v>
      </c>
      <c r="J281" s="88"/>
      <c r="K281" s="58">
        <v>1</v>
      </c>
      <c r="L281" s="123">
        <v>5645.26</v>
      </c>
      <c r="M281" s="55" t="s">
        <v>134</v>
      </c>
      <c r="N281" s="112">
        <v>28</v>
      </c>
      <c r="O281" s="212" t="str">
        <f>IF(VEND[[#This Row],[STATUS]]="O.C",(VEND[[#This Row],[Fecha Recibe
O.C]]+VEND[[#This Row],[Dias
entrega ]]),"")</f>
        <v/>
      </c>
      <c r="P281" s="212"/>
      <c r="Q281" s="58" t="str">
        <f>IFERROR(VEND[[#This Row],[Fecha de Despacho]]-VEND[[#This Row],[Fecha Estimada de Entrega a  Cliente]],"")</f>
        <v/>
      </c>
      <c r="R2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1" s="55" t="str">
        <f>IF(VEND[[#This Row],[STATUS]]="O.C","APROBADO",IF(VEND[[#This Row],[STATUS]]="PERDIDO","PERDIDO",IF(VEND[[#This Row],[STATUS]]="EN ESPERA","EN ESPERA")))</f>
        <v>PERDIDO</v>
      </c>
      <c r="T281" s="55" t="str">
        <f>IF(VEND[[#This Row],[STATUS]]="O.C","APROBADO",IF(VEND[[#This Row],[STATUS]]="PERDIDO","PERDIDO",IF(VEND[[#This Row],[STATUS]]="EN ESPERA","EN ESPERA")))</f>
        <v>PERDIDO</v>
      </c>
      <c r="U281" s="55" t="s">
        <v>23</v>
      </c>
      <c r="V281" s="55" t="s">
        <v>23</v>
      </c>
      <c r="W281" s="55" t="s">
        <v>1402</v>
      </c>
      <c r="X281" s="112"/>
    </row>
    <row r="282" spans="2:24" ht="15.75" x14ac:dyDescent="0.25">
      <c r="B282" s="71">
        <v>44307</v>
      </c>
      <c r="C282" s="71" t="str">
        <f>TEXT(VEND[[#This Row],[Fecha de Envío
Cotización]],"mmmm")</f>
        <v>abril</v>
      </c>
      <c r="D282" s="66" t="s">
        <v>41</v>
      </c>
      <c r="E282" s="92" t="s">
        <v>42</v>
      </c>
      <c r="F282" s="92" t="str">
        <f>IF(VEND[[#This Row],[STATUS]]="PERDIDO","N/A","En espera")</f>
        <v>N/A</v>
      </c>
      <c r="G282" s="125" t="str">
        <f>TEXT(VEND[[#This Row],[Fecha Recibe
O.C]],"mmmm")</f>
        <v>N/A</v>
      </c>
      <c r="H282" s="112">
        <v>3501</v>
      </c>
      <c r="I282" s="112" t="s">
        <v>76</v>
      </c>
      <c r="J282" s="55"/>
      <c r="K282" s="58">
        <v>10</v>
      </c>
      <c r="L282" s="123">
        <v>2399.19</v>
      </c>
      <c r="M282" s="55" t="s">
        <v>51</v>
      </c>
      <c r="N282" s="112">
        <v>21</v>
      </c>
      <c r="O282" s="212" t="str">
        <f>IF(VEND[[#This Row],[STATUS]]="O.C",(VEND[[#This Row],[Fecha Recibe
O.C]]+VEND[[#This Row],[Dias
entrega ]]),"")</f>
        <v/>
      </c>
      <c r="P282" s="212"/>
      <c r="Q282" s="58" t="str">
        <f>IFERROR(VEND[[#This Row],[Fecha de Despacho]]-VEND[[#This Row],[Fecha Estimada de Entrega a  Cliente]],"")</f>
        <v/>
      </c>
      <c r="R2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2" s="55" t="str">
        <f>IF(VEND[[#This Row],[STATUS]]="O.C","APROBADO",IF(VEND[[#This Row],[STATUS]]="PERDIDO","PERDIDO",IF(VEND[[#This Row],[STATUS]]="EN ESPERA","EN ESPERA")))</f>
        <v>PERDIDO</v>
      </c>
      <c r="T282" s="55" t="str">
        <f>IF(VEND[[#This Row],[STATUS]]="O.C","APROBADO",IF(VEND[[#This Row],[STATUS]]="PERDIDO","PERDIDO",IF(VEND[[#This Row],[STATUS]]="EN ESPERA","EN ESPERA")))</f>
        <v>PERDIDO</v>
      </c>
      <c r="U282" s="112" t="s">
        <v>23</v>
      </c>
      <c r="V282" s="112" t="s">
        <v>23</v>
      </c>
      <c r="W282" s="112" t="s">
        <v>1402</v>
      </c>
      <c r="X282" s="55" t="s">
        <v>43</v>
      </c>
    </row>
    <row r="283" spans="2:24" ht="15.75" x14ac:dyDescent="0.25">
      <c r="B283" s="71">
        <v>44307</v>
      </c>
      <c r="C283" s="71" t="str">
        <f>TEXT(VEND[[#This Row],[Fecha de Envío
Cotización]],"mmmm")</f>
        <v>abril</v>
      </c>
      <c r="D283" s="66" t="s">
        <v>41</v>
      </c>
      <c r="E283" s="92" t="s">
        <v>83</v>
      </c>
      <c r="F283" s="125">
        <v>44334</v>
      </c>
      <c r="G283" s="125" t="str">
        <f>TEXT(VEND[[#This Row],[Fecha Recibe
O.C]],"mmmm")</f>
        <v>mayo</v>
      </c>
      <c r="H283" s="112">
        <v>3502</v>
      </c>
      <c r="I283" s="55" t="s">
        <v>76</v>
      </c>
      <c r="J283" s="112"/>
      <c r="K283" s="58">
        <v>2</v>
      </c>
      <c r="L283" s="123">
        <v>317.60000000000002</v>
      </c>
      <c r="M283" s="55" t="s">
        <v>77</v>
      </c>
      <c r="N283" s="112">
        <v>7</v>
      </c>
      <c r="O283" s="212">
        <f>IF(VEND[[#This Row],[STATUS]]="O.C",(VEND[[#This Row],[Fecha Recibe
O.C]]+VEND[[#This Row],[Dias
entrega ]]),"")</f>
        <v>44341</v>
      </c>
      <c r="P283" s="212">
        <v>44358</v>
      </c>
      <c r="Q283" s="58">
        <f>IFERROR(VEND[[#This Row],[Fecha de Despacho]]-VEND[[#This Row],[Fecha Estimada de Entrega a  Cliente]],"")</f>
        <v>17</v>
      </c>
      <c r="R2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83" s="112" t="str">
        <f>IF(VEND[[#This Row],[STATUS]]="O.C","APROBADO",IF(VEND[[#This Row],[STATUS]]="PERDIDO","PERDIDO",IF(VEND[[#This Row],[STATUS]]="EN ESPERA","EN ESPERA")))</f>
        <v>APROBADO</v>
      </c>
      <c r="T283" s="112" t="str">
        <f>IF(VEND[[#This Row],[STATUS]]="O.C","APROBADO",IF(VEND[[#This Row],[STATUS]]="PERDIDO","PERDIDO",IF(VEND[[#This Row],[STATUS]]="EN ESPERA","EN ESPERA")))</f>
        <v>APROBADO</v>
      </c>
      <c r="U283" s="55" t="s">
        <v>46</v>
      </c>
      <c r="V283" s="55" t="s">
        <v>46</v>
      </c>
      <c r="W283" s="55" t="s">
        <v>1402</v>
      </c>
      <c r="X283" s="112"/>
    </row>
    <row r="284" spans="2:24" ht="15.75" x14ac:dyDescent="0.25">
      <c r="B284" s="71">
        <v>44307</v>
      </c>
      <c r="C284" s="71" t="str">
        <f>TEXT(VEND[[#This Row],[Fecha de Envío
Cotización]],"mmmm")</f>
        <v>abril</v>
      </c>
      <c r="D284" s="66" t="s">
        <v>945</v>
      </c>
      <c r="E284" s="92" t="s">
        <v>42</v>
      </c>
      <c r="F284" s="125" t="str">
        <f>IF(VEND[[#This Row],[STATUS]]="PERDIDO","N/A","En espera")</f>
        <v>N/A</v>
      </c>
      <c r="G284" s="125" t="str">
        <f>TEXT(VEND[[#This Row],[Fecha Recibe
O.C]],"mmmm")</f>
        <v>N/A</v>
      </c>
      <c r="H284" s="112">
        <v>6003</v>
      </c>
      <c r="I284" s="112" t="s">
        <v>144</v>
      </c>
      <c r="J284" s="112"/>
      <c r="K284" s="58">
        <v>5</v>
      </c>
      <c r="L284" s="123">
        <v>1327.61</v>
      </c>
      <c r="M284" s="55" t="s">
        <v>22</v>
      </c>
      <c r="N284" s="112">
        <v>0</v>
      </c>
      <c r="O284" s="212" t="str">
        <f>IF(VEND[[#This Row],[STATUS]]="O.C",(VEND[[#This Row],[Fecha Recibe
O.C]]+VEND[[#This Row],[Dias
entrega ]]),"")</f>
        <v/>
      </c>
      <c r="P284" s="212"/>
      <c r="Q284" s="58" t="str">
        <f>IFERROR(VEND[[#This Row],[Fecha de Despacho]]-VEND[[#This Row],[Fecha Estimada de Entrega a  Cliente]],"")</f>
        <v/>
      </c>
      <c r="R2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4" s="55" t="str">
        <f>IF(VEND[[#This Row],[STATUS]]="O.C","APROBADO",IF(VEND[[#This Row],[STATUS]]="PERDIDO","PERDIDO",IF(VEND[[#This Row],[STATUS]]="EN ESPERA","EN ESPERA")))</f>
        <v>PERDIDO</v>
      </c>
      <c r="T284" s="55" t="str">
        <f>IF(VEND[[#This Row],[STATUS]]="O.C","APROBADO",IF(VEND[[#This Row],[STATUS]]="PERDIDO","PERDIDO",IF(VEND[[#This Row],[STATUS]]="EN ESPERA","EN ESPERA")))</f>
        <v>PERDIDO</v>
      </c>
      <c r="U284" s="55" t="s">
        <v>23</v>
      </c>
      <c r="V284" s="55" t="s">
        <v>23</v>
      </c>
      <c r="W284" s="55" t="s">
        <v>1401</v>
      </c>
      <c r="X284" s="112"/>
    </row>
    <row r="285" spans="2:24" ht="15.75" x14ac:dyDescent="0.25">
      <c r="B285" s="71">
        <v>44307</v>
      </c>
      <c r="C285" s="71" t="str">
        <f>TEXT(VEND[[#This Row],[Fecha de Envío
Cotización]],"mmmm")</f>
        <v>abril</v>
      </c>
      <c r="D285" s="66" t="s">
        <v>1163</v>
      </c>
      <c r="E285" s="92" t="s">
        <v>88</v>
      </c>
      <c r="F285" s="125" t="str">
        <f>IF(VEND[[#This Row],[STATUS]]="PERDIDO","N/A","En espera")</f>
        <v>En espera</v>
      </c>
      <c r="G285" s="125" t="str">
        <f>TEXT(VEND[[#This Row],[Fecha Recibe
O.C]],"mmmm")</f>
        <v>En espera</v>
      </c>
      <c r="H285" s="112" t="s">
        <v>1238</v>
      </c>
      <c r="I285" s="55" t="s">
        <v>1241</v>
      </c>
      <c r="J285" s="112"/>
      <c r="K285" s="58">
        <v>12</v>
      </c>
      <c r="L285" s="123">
        <v>31765</v>
      </c>
      <c r="M285" s="112"/>
      <c r="N285" s="112"/>
      <c r="O285" s="212" t="str">
        <f>IF(VEND[[#This Row],[STATUS]]="O.C",(VEND[[#This Row],[Fecha Recibe
O.C]]+VEND[[#This Row],[Dias
entrega ]]),"")</f>
        <v/>
      </c>
      <c r="P285" s="212"/>
      <c r="Q285" s="58" t="str">
        <f>IFERROR(VEND[[#This Row],[Fecha de Despacho]]-VEND[[#This Row],[Fecha Estimada de Entrega a  Cliente]],"")</f>
        <v/>
      </c>
      <c r="R2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5" s="55" t="str">
        <f>IF(VEND[[#This Row],[STATUS]]="O.C","APROBADO",IF(VEND[[#This Row],[STATUS]]="PERDIDO","PERDIDO",IF(VEND[[#This Row],[STATUS]]="EN ESPERA","EN ESPERA")))</f>
        <v>EN ESPERA</v>
      </c>
      <c r="T285" s="55" t="str">
        <f>IF(VEND[[#This Row],[STATUS]]="O.C","APROBADO",IF(VEND[[#This Row],[STATUS]]="PERDIDO","PERDIDO",IF(VEND[[#This Row],[STATUS]]="EN ESPERA","EN ESPERA")))</f>
        <v>EN ESPERA</v>
      </c>
      <c r="U285" s="112" t="s">
        <v>23</v>
      </c>
      <c r="V285" s="112" t="s">
        <v>23</v>
      </c>
      <c r="W285" s="112" t="s">
        <v>1409</v>
      </c>
      <c r="X285" s="112"/>
    </row>
    <row r="286" spans="2:24" ht="15.75" x14ac:dyDescent="0.25">
      <c r="B286" s="71">
        <v>44307</v>
      </c>
      <c r="C286" s="71" t="str">
        <f>TEXT(VEND[[#This Row],[Fecha de Envío
Cotización]],"mmmm")</f>
        <v>abril</v>
      </c>
      <c r="D286" s="66" t="s">
        <v>1163</v>
      </c>
      <c r="E286" s="92" t="s">
        <v>88</v>
      </c>
      <c r="F286" s="125" t="str">
        <f>IF(VEND[[#This Row],[STATUS]]="PERDIDO","N/A","En espera")</f>
        <v>En espera</v>
      </c>
      <c r="G286" s="125" t="str">
        <f>TEXT(VEND[[#This Row],[Fecha Recibe
O.C]],"mmmm")</f>
        <v>En espera</v>
      </c>
      <c r="H286" s="112" t="s">
        <v>1239</v>
      </c>
      <c r="I286" s="55" t="s">
        <v>1241</v>
      </c>
      <c r="J286" s="112"/>
      <c r="K286" s="58">
        <v>1</v>
      </c>
      <c r="L286" s="123">
        <v>457.5</v>
      </c>
      <c r="M286" s="112"/>
      <c r="N286" s="112"/>
      <c r="O286" s="212" t="str">
        <f>IF(VEND[[#This Row],[STATUS]]="O.C",(VEND[[#This Row],[Fecha Recibe
O.C]]+VEND[[#This Row],[Dias
entrega ]]),"")</f>
        <v/>
      </c>
      <c r="P286" s="212"/>
      <c r="Q286" s="58" t="str">
        <f>IFERROR(VEND[[#This Row],[Fecha de Despacho]]-VEND[[#This Row],[Fecha Estimada de Entrega a  Cliente]],"")</f>
        <v/>
      </c>
      <c r="R2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6" s="55" t="str">
        <f>IF(VEND[[#This Row],[STATUS]]="O.C","APROBADO",IF(VEND[[#This Row],[STATUS]]="PERDIDO","PERDIDO",IF(VEND[[#This Row],[STATUS]]="EN ESPERA","EN ESPERA")))</f>
        <v>EN ESPERA</v>
      </c>
      <c r="T286" s="55" t="str">
        <f>IF(VEND[[#This Row],[STATUS]]="O.C","APROBADO",IF(VEND[[#This Row],[STATUS]]="PERDIDO","PERDIDO",IF(VEND[[#This Row],[STATUS]]="EN ESPERA","EN ESPERA")))</f>
        <v>EN ESPERA</v>
      </c>
      <c r="U286" s="112" t="s">
        <v>23</v>
      </c>
      <c r="V286" s="112" t="s">
        <v>23</v>
      </c>
      <c r="W286" s="112" t="s">
        <v>1409</v>
      </c>
      <c r="X286" s="112"/>
    </row>
    <row r="287" spans="2:24" ht="15.75" x14ac:dyDescent="0.25">
      <c r="B287" s="232">
        <v>44307</v>
      </c>
      <c r="C287" s="71" t="str">
        <f>TEXT(VEND[[#This Row],[Fecha de Envío
Cotización]],"mmmm")</f>
        <v>abril</v>
      </c>
      <c r="D287" s="66" t="s">
        <v>1163</v>
      </c>
      <c r="E287" s="92" t="s">
        <v>83</v>
      </c>
      <c r="F287" s="93">
        <v>44321</v>
      </c>
      <c r="G287" s="93" t="str">
        <f>TEXT(VEND[[#This Row],[Fecha Recibe
O.C]],"mmmm")</f>
        <v>mayo</v>
      </c>
      <c r="H287" s="112" t="s">
        <v>1240</v>
      </c>
      <c r="I287" s="55" t="s">
        <v>1241</v>
      </c>
      <c r="J287" s="112"/>
      <c r="K287" s="58">
        <v>1</v>
      </c>
      <c r="L287" s="123">
        <v>180</v>
      </c>
      <c r="M287" s="112" t="s">
        <v>15</v>
      </c>
      <c r="N287" s="112">
        <v>14</v>
      </c>
      <c r="O287" s="212">
        <f>IF(VEND[[#This Row],[STATUS]]="O.C",(VEND[[#This Row],[Fecha Recibe
O.C]]+VEND[[#This Row],[Dias
entrega ]]),"")</f>
        <v>44335</v>
      </c>
      <c r="P287" s="212">
        <v>44355</v>
      </c>
      <c r="Q287" s="58">
        <f>IFERROR(VEND[[#This Row],[Fecha de Despacho]]-VEND[[#This Row],[Fecha Estimada de Entrega a  Cliente]],"")</f>
        <v>20</v>
      </c>
      <c r="R2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287" s="55" t="str">
        <f>IF(VEND[[#This Row],[STATUS]]="O.C","APROBADO",IF(VEND[[#This Row],[STATUS]]="PERDIDO","PERDIDO",IF(VEND[[#This Row],[STATUS]]="EN ESPERA","EN ESPERA")))</f>
        <v>APROBADO</v>
      </c>
      <c r="T287" s="55" t="str">
        <f>IF(VEND[[#This Row],[STATUS]]="O.C","APROBADO",IF(VEND[[#This Row],[STATUS]]="PERDIDO","PERDIDO",IF(VEND[[#This Row],[STATUS]]="EN ESPERA","EN ESPERA")))</f>
        <v>APROBADO</v>
      </c>
      <c r="U287" s="112" t="s">
        <v>45</v>
      </c>
      <c r="V287" s="112" t="s">
        <v>46</v>
      </c>
      <c r="W287" s="112" t="s">
        <v>1409</v>
      </c>
      <c r="X287" s="112" t="s">
        <v>1473</v>
      </c>
    </row>
    <row r="288" spans="2:24" ht="15.75" x14ac:dyDescent="0.25">
      <c r="B288" s="71">
        <v>44308</v>
      </c>
      <c r="C288" s="71" t="str">
        <f>TEXT(VEND[[#This Row],[Fecha de Envío
Cotización]],"mmmm")</f>
        <v>abril</v>
      </c>
      <c r="D288" s="66" t="s">
        <v>50</v>
      </c>
      <c r="E288" s="92" t="s">
        <v>42</v>
      </c>
      <c r="F288" s="125" t="str">
        <f>IF(VEND[[#This Row],[STATUS]]="PERDIDO","N/A","En espera")</f>
        <v>N/A</v>
      </c>
      <c r="G288" s="125" t="str">
        <f>TEXT(VEND[[#This Row],[Fecha Recibe
O.C]],"mmmm")</f>
        <v>N/A</v>
      </c>
      <c r="H288" s="112">
        <v>1510</v>
      </c>
      <c r="I288" s="55" t="s">
        <v>123</v>
      </c>
      <c r="J288" s="112"/>
      <c r="K288" s="58">
        <v>1</v>
      </c>
      <c r="L288" s="123">
        <v>720</v>
      </c>
      <c r="M288" s="55" t="s">
        <v>51</v>
      </c>
      <c r="N288" s="112">
        <v>21</v>
      </c>
      <c r="O288" s="212" t="str">
        <f>IF(VEND[[#This Row],[STATUS]]="O.C",(VEND[[#This Row],[Fecha Recibe
O.C]]+VEND[[#This Row],[Dias
entrega ]]),"")</f>
        <v/>
      </c>
      <c r="P288" s="212"/>
      <c r="Q288" s="58" t="str">
        <f>IFERROR(VEND[[#This Row],[Fecha de Despacho]]-VEND[[#This Row],[Fecha Estimada de Entrega a  Cliente]],"")</f>
        <v/>
      </c>
      <c r="R2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8" s="55" t="str">
        <f>IF(VEND[[#This Row],[STATUS]]="O.C","APROBADO",IF(VEND[[#This Row],[STATUS]]="PERDIDO","PERDIDO",IF(VEND[[#This Row],[STATUS]]="EN ESPERA","EN ESPERA")))</f>
        <v>PERDIDO</v>
      </c>
      <c r="T288" s="55" t="str">
        <f>IF(VEND[[#This Row],[STATUS]]="O.C","APROBADO",IF(VEND[[#This Row],[STATUS]]="PERDIDO","PERDIDO",IF(VEND[[#This Row],[STATUS]]="EN ESPERA","EN ESPERA")))</f>
        <v>PERDIDO</v>
      </c>
      <c r="U288" s="112" t="s">
        <v>23</v>
      </c>
      <c r="V288" s="112" t="s">
        <v>23</v>
      </c>
      <c r="W288" s="112" t="s">
        <v>1401</v>
      </c>
      <c r="X288" s="112"/>
    </row>
    <row r="289" spans="2:24" ht="15.75" x14ac:dyDescent="0.25">
      <c r="B289" s="71">
        <v>44308</v>
      </c>
      <c r="C289" s="71" t="str">
        <f>TEXT(VEND[[#This Row],[Fecha de Envío
Cotización]],"mmmm")</f>
        <v>abril</v>
      </c>
      <c r="D289" s="66" t="s">
        <v>50</v>
      </c>
      <c r="E289" s="92" t="s">
        <v>42</v>
      </c>
      <c r="F289" s="125" t="str">
        <f>IF(VEND[[#This Row],[STATUS]]="PERDIDO","N/A","En espera")</f>
        <v>N/A</v>
      </c>
      <c r="G289" s="125" t="str">
        <f>TEXT(VEND[[#This Row],[Fecha Recibe
O.C]],"mmmm")</f>
        <v>N/A</v>
      </c>
      <c r="H289" s="112">
        <v>1511</v>
      </c>
      <c r="I289" s="55" t="s">
        <v>90</v>
      </c>
      <c r="J289" s="112"/>
      <c r="K289" s="58">
        <v>1</v>
      </c>
      <c r="L289" s="123">
        <v>469.02</v>
      </c>
      <c r="M289" s="112" t="s">
        <v>419</v>
      </c>
      <c r="N289" s="112">
        <v>35</v>
      </c>
      <c r="O289" s="212" t="str">
        <f>IF(VEND[[#This Row],[STATUS]]="O.C",(VEND[[#This Row],[Fecha Recibe
O.C]]+VEND[[#This Row],[Dias
entrega ]]),"")</f>
        <v/>
      </c>
      <c r="P289" s="212"/>
      <c r="Q289" s="58" t="str">
        <f>IFERROR(VEND[[#This Row],[Fecha de Despacho]]-VEND[[#This Row],[Fecha Estimada de Entrega a  Cliente]],"")</f>
        <v/>
      </c>
      <c r="R2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89" s="112" t="str">
        <f>IF(VEND[[#This Row],[STATUS]]="O.C","APROBADO",IF(VEND[[#This Row],[STATUS]]="PERDIDO","PERDIDO",IF(VEND[[#This Row],[STATUS]]="EN ESPERA","EN ESPERA")))</f>
        <v>PERDIDO</v>
      </c>
      <c r="T289" s="112" t="str">
        <f>IF(VEND[[#This Row],[STATUS]]="O.C","APROBADO",IF(VEND[[#This Row],[STATUS]]="PERDIDO","PERDIDO",IF(VEND[[#This Row],[STATUS]]="EN ESPERA","EN ESPERA")))</f>
        <v>PERDIDO</v>
      </c>
      <c r="U289" s="112" t="s">
        <v>23</v>
      </c>
      <c r="V289" s="112" t="s">
        <v>23</v>
      </c>
      <c r="W289" s="112" t="s">
        <v>1403</v>
      </c>
      <c r="X289" s="112"/>
    </row>
    <row r="290" spans="2:24" ht="15.75" x14ac:dyDescent="0.25">
      <c r="B290" s="71">
        <v>44308</v>
      </c>
      <c r="C290" s="71" t="str">
        <f>TEXT(VEND[[#This Row],[Fecha de Envío
Cotización]],"mmmm")</f>
        <v>abril</v>
      </c>
      <c r="D290" s="66" t="s">
        <v>50</v>
      </c>
      <c r="E290" s="92" t="s">
        <v>42</v>
      </c>
      <c r="F290" s="125" t="str">
        <f>IF(VEND[[#This Row],[STATUS]]="PERDIDO","N/A","En espera")</f>
        <v>N/A</v>
      </c>
      <c r="G290" s="125" t="str">
        <f>TEXT(VEND[[#This Row],[Fecha Recibe
O.C]],"mmmm")</f>
        <v>N/A</v>
      </c>
      <c r="H290" s="112">
        <v>1512</v>
      </c>
      <c r="I290" s="112" t="s">
        <v>33</v>
      </c>
      <c r="J290" s="88"/>
      <c r="K290" s="58">
        <v>1</v>
      </c>
      <c r="L290" s="123">
        <v>2033.18</v>
      </c>
      <c r="M290" s="55" t="s">
        <v>22</v>
      </c>
      <c r="N290" s="112">
        <v>0</v>
      </c>
      <c r="O290" s="212" t="str">
        <f>IF(VEND[[#This Row],[STATUS]]="O.C",(VEND[[#This Row],[Fecha Recibe
O.C]]+VEND[[#This Row],[Dias
entrega ]]),"")</f>
        <v/>
      </c>
      <c r="P290" s="212"/>
      <c r="Q290" s="58" t="str">
        <f>IFERROR(VEND[[#This Row],[Fecha de Despacho]]-VEND[[#This Row],[Fecha Estimada de Entrega a  Cliente]],"")</f>
        <v/>
      </c>
      <c r="R2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0" s="112" t="str">
        <f>IF(VEND[[#This Row],[STATUS]]="O.C","APROBADO",IF(VEND[[#This Row],[STATUS]]="PERDIDO","PERDIDO",IF(VEND[[#This Row],[STATUS]]="EN ESPERA","EN ESPERA")))</f>
        <v>PERDIDO</v>
      </c>
      <c r="T290" s="112" t="str">
        <f>IF(VEND[[#This Row],[STATUS]]="O.C","APROBADO",IF(VEND[[#This Row],[STATUS]]="PERDIDO","PERDIDO",IF(VEND[[#This Row],[STATUS]]="EN ESPERA","EN ESPERA")))</f>
        <v>PERDIDO</v>
      </c>
      <c r="U290" s="55" t="s">
        <v>23</v>
      </c>
      <c r="V290" s="55" t="s">
        <v>23</v>
      </c>
      <c r="W290" s="112" t="s">
        <v>1402</v>
      </c>
      <c r="X290" s="112"/>
    </row>
    <row r="291" spans="2:24" ht="15.75" x14ac:dyDescent="0.25">
      <c r="B291" s="71">
        <v>44308</v>
      </c>
      <c r="C291" s="71" t="str">
        <f>TEXT(VEND[[#This Row],[Fecha de Envío
Cotización]],"mmmm")</f>
        <v>abril</v>
      </c>
      <c r="D291" s="66" t="s">
        <v>41</v>
      </c>
      <c r="E291" s="92" t="s">
        <v>88</v>
      </c>
      <c r="F291" s="125" t="str">
        <f>IF(VEND[[#This Row],[STATUS]]="PERDIDO","N/A","En espera")</f>
        <v>En espera</v>
      </c>
      <c r="G291" s="125" t="str">
        <f>TEXT(VEND[[#This Row],[Fecha Recibe
O.C]],"mmmm")</f>
        <v>En espera</v>
      </c>
      <c r="H291" s="112">
        <v>3503</v>
      </c>
      <c r="I291" s="112" t="s">
        <v>416</v>
      </c>
      <c r="J291" s="112"/>
      <c r="K291" s="58">
        <v>1</v>
      </c>
      <c r="L291" s="123">
        <v>263.54000000000002</v>
      </c>
      <c r="M291" s="55" t="s">
        <v>73</v>
      </c>
      <c r="N291" s="112">
        <v>14</v>
      </c>
      <c r="O291" s="212" t="str">
        <f>IF(VEND[[#This Row],[STATUS]]="O.C",(VEND[[#This Row],[Fecha Recibe
O.C]]+VEND[[#This Row],[Dias
entrega ]]),"")</f>
        <v/>
      </c>
      <c r="P291" s="212"/>
      <c r="Q291" s="58" t="str">
        <f>IFERROR(VEND[[#This Row],[Fecha de Despacho]]-VEND[[#This Row],[Fecha Estimada de Entrega a  Cliente]],"")</f>
        <v/>
      </c>
      <c r="R2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1" s="112" t="str">
        <f>IF(VEND[[#This Row],[STATUS]]="O.C","APROBADO",IF(VEND[[#This Row],[STATUS]]="PERDIDO","PERDIDO",IF(VEND[[#This Row],[STATUS]]="EN ESPERA","EN ESPERA")))</f>
        <v>EN ESPERA</v>
      </c>
      <c r="T291" s="112" t="str">
        <f>IF(VEND[[#This Row],[STATUS]]="O.C","APROBADO",IF(VEND[[#This Row],[STATUS]]="PERDIDO","PERDIDO",IF(VEND[[#This Row],[STATUS]]="EN ESPERA","EN ESPERA")))</f>
        <v>EN ESPERA</v>
      </c>
      <c r="U291" s="55" t="s">
        <v>23</v>
      </c>
      <c r="V291" s="55" t="s">
        <v>23</v>
      </c>
      <c r="W291" s="55" t="s">
        <v>1401</v>
      </c>
      <c r="X291" s="112"/>
    </row>
    <row r="292" spans="2:24" ht="15.75" x14ac:dyDescent="0.25">
      <c r="B292" s="71">
        <v>44308</v>
      </c>
      <c r="C292" s="71" t="str">
        <f>TEXT(VEND[[#This Row],[Fecha de Envío
Cotización]],"mmmm")</f>
        <v>abril</v>
      </c>
      <c r="D292" s="66" t="s">
        <v>945</v>
      </c>
      <c r="E292" s="92" t="s">
        <v>42</v>
      </c>
      <c r="F292" s="125" t="str">
        <f>IF(VEND[[#This Row],[STATUS]]="PERDIDO","N/A","En espera")</f>
        <v>N/A</v>
      </c>
      <c r="G292" s="125" t="str">
        <f>TEXT(VEND[[#This Row],[Fecha Recibe
O.C]],"mmmm")</f>
        <v>N/A</v>
      </c>
      <c r="H292" s="112">
        <v>6005</v>
      </c>
      <c r="I292" s="112" t="s">
        <v>31</v>
      </c>
      <c r="J292" s="112"/>
      <c r="K292" s="58">
        <v>4</v>
      </c>
      <c r="L292" s="123">
        <v>398.34</v>
      </c>
      <c r="M292" s="55" t="s">
        <v>15</v>
      </c>
      <c r="N292" s="112">
        <v>14</v>
      </c>
      <c r="O292" s="212" t="str">
        <f>IF(VEND[[#This Row],[STATUS]]="O.C",(VEND[[#This Row],[Fecha Recibe
O.C]]+VEND[[#This Row],[Dias
entrega ]]),"")</f>
        <v/>
      </c>
      <c r="P292" s="212"/>
      <c r="Q292" s="58" t="str">
        <f>IFERROR(VEND[[#This Row],[Fecha de Despacho]]-VEND[[#This Row],[Fecha Estimada de Entrega a  Cliente]],"")</f>
        <v/>
      </c>
      <c r="R2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2" s="112" t="str">
        <f>IF(VEND[[#This Row],[STATUS]]="O.C","APROBADO",IF(VEND[[#This Row],[STATUS]]="PERDIDO","PERDIDO",IF(VEND[[#This Row],[STATUS]]="EN ESPERA","EN ESPERA")))</f>
        <v>PERDIDO</v>
      </c>
      <c r="T292" s="112" t="str">
        <f>IF(VEND[[#This Row],[STATUS]]="O.C","APROBADO",IF(VEND[[#This Row],[STATUS]]="PERDIDO","PERDIDO",IF(VEND[[#This Row],[STATUS]]="EN ESPERA","EN ESPERA")))</f>
        <v>PERDIDO</v>
      </c>
      <c r="U292" s="55" t="s">
        <v>23</v>
      </c>
      <c r="V292" s="55" t="s">
        <v>23</v>
      </c>
      <c r="W292" s="55" t="s">
        <v>1410</v>
      </c>
      <c r="X292" s="112"/>
    </row>
    <row r="293" spans="2:24" s="105" customFormat="1" ht="15.75" x14ac:dyDescent="0.25">
      <c r="B293" s="71">
        <v>44308</v>
      </c>
      <c r="C293" s="71" t="str">
        <f>TEXT(VEND[[#This Row],[Fecha de Envío
Cotización]],"mmmm")</f>
        <v>abril</v>
      </c>
      <c r="D293" s="66" t="s">
        <v>945</v>
      </c>
      <c r="E293" s="98" t="s">
        <v>42</v>
      </c>
      <c r="F293" s="125" t="str">
        <f>IF(VEND[[#This Row],[STATUS]]="PERDIDO","N/A","En espera")</f>
        <v>N/A</v>
      </c>
      <c r="G293" s="125" t="str">
        <f>TEXT(VEND[[#This Row],[Fecha Recibe
O.C]],"mmmm")</f>
        <v>N/A</v>
      </c>
      <c r="H293" s="112">
        <v>6006</v>
      </c>
      <c r="I293" s="112" t="s">
        <v>31</v>
      </c>
      <c r="J293" s="112"/>
      <c r="K293" s="58">
        <v>5</v>
      </c>
      <c r="L293" s="123">
        <v>669.41</v>
      </c>
      <c r="M293" s="112" t="s">
        <v>22</v>
      </c>
      <c r="N293" s="112">
        <v>0</v>
      </c>
      <c r="O293" s="212" t="str">
        <f>IF(VEND[[#This Row],[STATUS]]="O.C",(VEND[[#This Row],[Fecha Recibe
O.C]]+VEND[[#This Row],[Dias
entrega ]]),"")</f>
        <v/>
      </c>
      <c r="P293" s="212"/>
      <c r="Q293" s="58" t="str">
        <f>IFERROR(VEND[[#This Row],[Fecha de Despacho]]-VEND[[#This Row],[Fecha Estimada de Entrega a  Cliente]],"")</f>
        <v/>
      </c>
      <c r="R2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3" s="112" t="str">
        <f>IF(VEND[[#This Row],[STATUS]]="O.C","APROBADO",IF(VEND[[#This Row],[STATUS]]="PERDIDO","PERDIDO",IF(VEND[[#This Row],[STATUS]]="EN ESPERA","EN ESPERA")))</f>
        <v>PERDIDO</v>
      </c>
      <c r="T293" s="112" t="str">
        <f>IF(VEND[[#This Row],[STATUS]]="O.C","APROBADO",IF(VEND[[#This Row],[STATUS]]="PERDIDO","PERDIDO",IF(VEND[[#This Row],[STATUS]]="EN ESPERA","EN ESPERA")))</f>
        <v>PERDIDO</v>
      </c>
      <c r="U293" s="112" t="s">
        <v>23</v>
      </c>
      <c r="V293" s="112" t="s">
        <v>23</v>
      </c>
      <c r="W293" s="112" t="s">
        <v>1410</v>
      </c>
      <c r="X293" s="112"/>
    </row>
    <row r="294" spans="2:24" ht="15.75" x14ac:dyDescent="0.25">
      <c r="B294" s="71">
        <v>44308</v>
      </c>
      <c r="C294" s="71" t="str">
        <f>TEXT(VEND[[#This Row],[Fecha de Envío
Cotización]],"mmmm")</f>
        <v>abril</v>
      </c>
      <c r="D294" s="66" t="s">
        <v>41</v>
      </c>
      <c r="E294" s="92" t="s">
        <v>83</v>
      </c>
      <c r="F294" s="125">
        <v>44328</v>
      </c>
      <c r="G294" s="125" t="str">
        <f>TEXT(VEND[[#This Row],[Fecha Recibe
O.C]],"mmmm")</f>
        <v>mayo</v>
      </c>
      <c r="H294" s="112" t="s">
        <v>1461</v>
      </c>
      <c r="I294" s="55" t="s">
        <v>1462</v>
      </c>
      <c r="J294" s="112"/>
      <c r="K294" s="58">
        <v>2</v>
      </c>
      <c r="L294" s="123">
        <v>7480</v>
      </c>
      <c r="M294" s="55" t="s">
        <v>15</v>
      </c>
      <c r="N294" s="112">
        <v>14</v>
      </c>
      <c r="O294" s="212">
        <f>IF(VEND[[#This Row],[STATUS]]="O.C",(VEND[[#This Row],[Fecha Recibe
O.C]]+VEND[[#This Row],[Dias
entrega ]]),"")</f>
        <v>44342</v>
      </c>
      <c r="P294" s="212"/>
      <c r="Q294" s="58">
        <f>IFERROR(VEND[[#This Row],[Fecha de Despacho]]-VEND[[#This Row],[Fecha Estimada de Entrega a  Cliente]],"")</f>
        <v>-44342</v>
      </c>
      <c r="R2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4" s="112" t="str">
        <f>IF(VEND[[#This Row],[STATUS]]="O.C","APROBADO",IF(VEND[[#This Row],[STATUS]]="PERDIDO","PERDIDO",IF(VEND[[#This Row],[STATUS]]="EN ESPERA","EN ESPERA")))</f>
        <v>APROBADO</v>
      </c>
      <c r="T294" s="112" t="str">
        <f>IF(VEND[[#This Row],[STATUS]]="O.C","APROBADO",IF(VEND[[#This Row],[STATUS]]="PERDIDO","PERDIDO",IF(VEND[[#This Row],[STATUS]]="EN ESPERA","EN ESPERA")))</f>
        <v>APROBADO</v>
      </c>
      <c r="U294" s="55" t="s">
        <v>46</v>
      </c>
      <c r="V294" s="55" t="s">
        <v>46</v>
      </c>
      <c r="W294" s="55" t="s">
        <v>1406</v>
      </c>
      <c r="X294" s="112"/>
    </row>
    <row r="295" spans="2:24" ht="15.75" x14ac:dyDescent="0.25">
      <c r="B295" s="71">
        <v>44309</v>
      </c>
      <c r="C295" s="71" t="str">
        <f>TEXT(VEND[[#This Row],[Fecha de Envío
Cotización]],"mmmm")</f>
        <v>abril</v>
      </c>
      <c r="D295" s="66" t="s">
        <v>50</v>
      </c>
      <c r="E295" s="92" t="s">
        <v>42</v>
      </c>
      <c r="F295" s="115" t="str">
        <f>IF(VEND[[#This Row],[STATUS]]="PERDIDO","N/A","En espera")</f>
        <v>N/A</v>
      </c>
      <c r="G295" s="125" t="str">
        <f>TEXT(VEND[[#This Row],[Fecha Recibe
O.C]],"mmmm")</f>
        <v>N/A</v>
      </c>
      <c r="H295" s="112">
        <v>1513</v>
      </c>
      <c r="I295" s="55" t="s">
        <v>33</v>
      </c>
      <c r="J295" s="88"/>
      <c r="K295" s="58">
        <v>1</v>
      </c>
      <c r="L295" s="123">
        <v>1497.27</v>
      </c>
      <c r="M295" s="55" t="s">
        <v>134</v>
      </c>
      <c r="N295" s="112">
        <v>28</v>
      </c>
      <c r="O295" s="212" t="str">
        <f>IF(VEND[[#This Row],[STATUS]]="O.C",(VEND[[#This Row],[Fecha Recibe
O.C]]+VEND[[#This Row],[Dias
entrega ]]),"")</f>
        <v/>
      </c>
      <c r="P295" s="212"/>
      <c r="Q295" s="58" t="str">
        <f>IFERROR(VEND[[#This Row],[Fecha de Despacho]]-VEND[[#This Row],[Fecha Estimada de Entrega a  Cliente]],"")</f>
        <v/>
      </c>
      <c r="R2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5" s="112" t="str">
        <f>IF(VEND[[#This Row],[STATUS]]="O.C","APROBADO",IF(VEND[[#This Row],[STATUS]]="PERDIDO","PERDIDO",IF(VEND[[#This Row],[STATUS]]="EN ESPERA","EN ESPERA")))</f>
        <v>PERDIDO</v>
      </c>
      <c r="T295" s="112" t="str">
        <f>IF(VEND[[#This Row],[STATUS]]="O.C","APROBADO",IF(VEND[[#This Row],[STATUS]]="PERDIDO","PERDIDO",IF(VEND[[#This Row],[STATUS]]="EN ESPERA","EN ESPERA")))</f>
        <v>PERDIDO</v>
      </c>
      <c r="U295" s="55" t="s">
        <v>23</v>
      </c>
      <c r="V295" s="55" t="s">
        <v>23</v>
      </c>
      <c r="W295" s="55" t="s">
        <v>1402</v>
      </c>
      <c r="X295" s="112"/>
    </row>
    <row r="296" spans="2:24" ht="15.75" x14ac:dyDescent="0.25">
      <c r="B296" s="71">
        <v>44309</v>
      </c>
      <c r="C296" s="71" t="str">
        <f>TEXT(VEND[[#This Row],[Fecha de Envío
Cotización]],"mmmm")</f>
        <v>abril</v>
      </c>
      <c r="D296" s="66" t="s">
        <v>50</v>
      </c>
      <c r="E296" s="125" t="s">
        <v>42</v>
      </c>
      <c r="F296" s="125" t="str">
        <f>IF(VEND[[#This Row],[STATUS]]="PERDIDO","N/A","En espera")</f>
        <v>N/A</v>
      </c>
      <c r="G296" s="125" t="str">
        <f>TEXT(VEND[[#This Row],[Fecha Recibe
O.C]],"mmmm")</f>
        <v>N/A</v>
      </c>
      <c r="H296" s="112">
        <v>1513</v>
      </c>
      <c r="I296" s="112" t="s">
        <v>123</v>
      </c>
      <c r="J296" s="112"/>
      <c r="K296" s="58">
        <v>1</v>
      </c>
      <c r="L296" s="123">
        <v>4566.33</v>
      </c>
      <c r="M296" s="55" t="s">
        <v>420</v>
      </c>
      <c r="N296" s="112">
        <v>77</v>
      </c>
      <c r="O296" s="212" t="str">
        <f>IF(VEND[[#This Row],[STATUS]]="O.C",(VEND[[#This Row],[Fecha Recibe
O.C]]+VEND[[#This Row],[Dias
entrega ]]),"")</f>
        <v/>
      </c>
      <c r="P296" s="212"/>
      <c r="Q296" s="58" t="str">
        <f>IFERROR(VEND[[#This Row],[Fecha de Despacho]]-VEND[[#This Row],[Fecha Estimada de Entrega a  Cliente]],"")</f>
        <v/>
      </c>
      <c r="R2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6" s="112" t="str">
        <f>IF(VEND[[#This Row],[STATUS]]="O.C","APROBADO",IF(VEND[[#This Row],[STATUS]]="PERDIDO","PERDIDO",IF(VEND[[#This Row],[STATUS]]="EN ESPERA","EN ESPERA")))</f>
        <v>PERDIDO</v>
      </c>
      <c r="T296" s="112" t="str">
        <f>IF(VEND[[#This Row],[STATUS]]="O.C","APROBADO",IF(VEND[[#This Row],[STATUS]]="PERDIDO","PERDIDO",IF(VEND[[#This Row],[STATUS]]="EN ESPERA","EN ESPERA")))</f>
        <v>PERDIDO</v>
      </c>
      <c r="U296" s="55" t="s">
        <v>23</v>
      </c>
      <c r="V296" s="55" t="s">
        <v>23</v>
      </c>
      <c r="W296" s="112" t="s">
        <v>1401</v>
      </c>
      <c r="X296" s="112"/>
    </row>
    <row r="297" spans="2:24" ht="15.75" x14ac:dyDescent="0.25">
      <c r="B297" s="71">
        <v>44309</v>
      </c>
      <c r="C297" s="71" t="str">
        <f>TEXT(VEND[[#This Row],[Fecha de Envío
Cotización]],"mmmm")</f>
        <v>abril</v>
      </c>
      <c r="D297" s="66" t="s">
        <v>50</v>
      </c>
      <c r="E297" s="125" t="s">
        <v>42</v>
      </c>
      <c r="F297" s="125" t="str">
        <f>IF(VEND[[#This Row],[STATUS]]="PERDIDO","N/A","En espera")</f>
        <v>N/A</v>
      </c>
      <c r="G297" s="125" t="str">
        <f>TEXT(VEND[[#This Row],[Fecha Recibe
O.C]],"mmmm")</f>
        <v>N/A</v>
      </c>
      <c r="H297" s="112">
        <v>1513</v>
      </c>
      <c r="I297" s="112" t="s">
        <v>123</v>
      </c>
      <c r="J297" s="112"/>
      <c r="K297" s="58">
        <v>10</v>
      </c>
      <c r="L297" s="123">
        <v>3200.2</v>
      </c>
      <c r="M297" s="55" t="s">
        <v>134</v>
      </c>
      <c r="N297" s="112">
        <v>28</v>
      </c>
      <c r="O297" s="212" t="str">
        <f>IF(VEND[[#This Row],[STATUS]]="O.C",(VEND[[#This Row],[Fecha Recibe
O.C]]+VEND[[#This Row],[Dias
entrega ]]),"")</f>
        <v/>
      </c>
      <c r="P297" s="212"/>
      <c r="Q297" s="58" t="str">
        <f>IFERROR(VEND[[#This Row],[Fecha de Despacho]]-VEND[[#This Row],[Fecha Estimada de Entrega a  Cliente]],"")</f>
        <v/>
      </c>
      <c r="R2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7" s="112" t="str">
        <f>IF(VEND[[#This Row],[STATUS]]="O.C","APROBADO",IF(VEND[[#This Row],[STATUS]]="PERDIDO","PERDIDO",IF(VEND[[#This Row],[STATUS]]="EN ESPERA","EN ESPERA")))</f>
        <v>PERDIDO</v>
      </c>
      <c r="T297" s="112" t="str">
        <f>IF(VEND[[#This Row],[STATUS]]="O.C","APROBADO",IF(VEND[[#This Row],[STATUS]]="PERDIDO","PERDIDO",IF(VEND[[#This Row],[STATUS]]="EN ESPERA","EN ESPERA")))</f>
        <v>PERDIDO</v>
      </c>
      <c r="U297" s="55" t="s">
        <v>23</v>
      </c>
      <c r="V297" s="55" t="s">
        <v>23</v>
      </c>
      <c r="W297" s="112" t="s">
        <v>1401</v>
      </c>
      <c r="X297" s="112"/>
    </row>
    <row r="298" spans="2:24" ht="15.75" x14ac:dyDescent="0.25">
      <c r="B298" s="71">
        <v>44309</v>
      </c>
      <c r="C298" s="71" t="str">
        <f>TEXT(VEND[[#This Row],[Fecha de Envío
Cotización]],"mmmm")</f>
        <v>abril</v>
      </c>
      <c r="D298" s="66" t="s">
        <v>68</v>
      </c>
      <c r="E298" s="125" t="s">
        <v>42</v>
      </c>
      <c r="F298" s="125" t="str">
        <f>IF(VEND[[#This Row],[STATUS]]="PERDIDO","N/A","En espera")</f>
        <v>N/A</v>
      </c>
      <c r="G298" s="125" t="str">
        <f>TEXT(VEND[[#This Row],[Fecha Recibe
O.C]],"mmmm")</f>
        <v>N/A</v>
      </c>
      <c r="H298" s="112">
        <v>2606</v>
      </c>
      <c r="I298" s="112" t="s">
        <v>138</v>
      </c>
      <c r="J298" s="112"/>
      <c r="K298" s="58">
        <v>12</v>
      </c>
      <c r="L298" s="123">
        <v>4551.0600000000004</v>
      </c>
      <c r="M298" s="55" t="s">
        <v>16</v>
      </c>
      <c r="N298" s="112">
        <v>21</v>
      </c>
      <c r="O298" s="212" t="str">
        <f>IF(VEND[[#This Row],[STATUS]]="O.C",(VEND[[#This Row],[Fecha Recibe
O.C]]+VEND[[#This Row],[Dias
entrega ]]),"")</f>
        <v/>
      </c>
      <c r="P298" s="212"/>
      <c r="Q298" s="58" t="str">
        <f>IFERROR(VEND[[#This Row],[Fecha de Despacho]]-VEND[[#This Row],[Fecha Estimada de Entrega a  Cliente]],"")</f>
        <v/>
      </c>
      <c r="R2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8" s="112" t="str">
        <f>IF(VEND[[#This Row],[STATUS]]="O.C","APROBADO",IF(VEND[[#This Row],[STATUS]]="PERDIDO","PERDIDO",IF(VEND[[#This Row],[STATUS]]="EN ESPERA","EN ESPERA")))</f>
        <v>PERDIDO</v>
      </c>
      <c r="T298" s="112" t="str">
        <f>IF(VEND[[#This Row],[STATUS]]="O.C","APROBADO",IF(VEND[[#This Row],[STATUS]]="PERDIDO","PERDIDO",IF(VEND[[#This Row],[STATUS]]="EN ESPERA","EN ESPERA")))</f>
        <v>PERDIDO</v>
      </c>
      <c r="U298" s="55" t="s">
        <v>23</v>
      </c>
      <c r="V298" s="55" t="s">
        <v>23</v>
      </c>
      <c r="W298" s="55" t="s">
        <v>1402</v>
      </c>
      <c r="X298" s="112"/>
    </row>
    <row r="299" spans="2:24" ht="15.75" x14ac:dyDescent="0.25">
      <c r="B299" s="71">
        <v>44309</v>
      </c>
      <c r="C299" s="71" t="str">
        <f>TEXT(VEND[[#This Row],[Fecha de Envío
Cotización]],"mmmm")</f>
        <v>abril</v>
      </c>
      <c r="D299" s="66" t="s">
        <v>68</v>
      </c>
      <c r="E299" s="125" t="s">
        <v>42</v>
      </c>
      <c r="F299" s="125" t="str">
        <f>IF(VEND[[#This Row],[STATUS]]="PERDIDO","N/A","En espera")</f>
        <v>N/A</v>
      </c>
      <c r="G299" s="125" t="str">
        <f>TEXT(VEND[[#This Row],[Fecha Recibe
O.C]],"mmmm")</f>
        <v>N/A</v>
      </c>
      <c r="H299" s="112">
        <v>2607</v>
      </c>
      <c r="I299" s="112" t="s">
        <v>138</v>
      </c>
      <c r="J299" s="112"/>
      <c r="K299" s="58">
        <v>7</v>
      </c>
      <c r="L299" s="123">
        <v>3865.35</v>
      </c>
      <c r="M299" s="55" t="s">
        <v>22</v>
      </c>
      <c r="N299" s="112">
        <v>0</v>
      </c>
      <c r="O299" s="212" t="str">
        <f>IF(VEND[[#This Row],[STATUS]]="O.C",(VEND[[#This Row],[Fecha Recibe
O.C]]+VEND[[#This Row],[Dias
entrega ]]),"")</f>
        <v/>
      </c>
      <c r="P299" s="212"/>
      <c r="Q299" s="58" t="str">
        <f>IFERROR(VEND[[#This Row],[Fecha de Despacho]]-VEND[[#This Row],[Fecha Estimada de Entrega a  Cliente]],"")</f>
        <v/>
      </c>
      <c r="R2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299" s="112" t="str">
        <f>IF(VEND[[#This Row],[STATUS]]="O.C","APROBADO",IF(VEND[[#This Row],[STATUS]]="PERDIDO","PERDIDO",IF(VEND[[#This Row],[STATUS]]="EN ESPERA","EN ESPERA")))</f>
        <v>PERDIDO</v>
      </c>
      <c r="T299" s="112" t="str">
        <f>IF(VEND[[#This Row],[STATUS]]="O.C","APROBADO",IF(VEND[[#This Row],[STATUS]]="PERDIDO","PERDIDO",IF(VEND[[#This Row],[STATUS]]="EN ESPERA","EN ESPERA")))</f>
        <v>PERDIDO</v>
      </c>
      <c r="U299" s="55" t="s">
        <v>23</v>
      </c>
      <c r="V299" s="55" t="s">
        <v>23</v>
      </c>
      <c r="W299" s="112" t="s">
        <v>1402</v>
      </c>
      <c r="X299" s="112"/>
    </row>
    <row r="300" spans="2:24" ht="15.75" x14ac:dyDescent="0.25">
      <c r="B300" s="71">
        <v>44309</v>
      </c>
      <c r="C300" s="71" t="str">
        <f>TEXT(VEND[[#This Row],[Fecha de Envío
Cotización]],"mmmm")</f>
        <v>abril</v>
      </c>
      <c r="D300" s="66" t="s">
        <v>68</v>
      </c>
      <c r="E300" s="125" t="s">
        <v>42</v>
      </c>
      <c r="F300" s="125" t="str">
        <f>IF(VEND[[#This Row],[STATUS]]="PERDIDO","N/A","En espera")</f>
        <v>N/A</v>
      </c>
      <c r="G300" s="125" t="str">
        <f>TEXT(VEND[[#This Row],[Fecha Recibe
O.C]],"mmmm")</f>
        <v>N/A</v>
      </c>
      <c r="H300" s="112">
        <v>2608</v>
      </c>
      <c r="I300" s="112" t="s">
        <v>91</v>
      </c>
      <c r="J300" s="112"/>
      <c r="K300" s="58">
        <v>9</v>
      </c>
      <c r="L300" s="123">
        <v>291.3</v>
      </c>
      <c r="M300" s="112" t="s">
        <v>22</v>
      </c>
      <c r="N300" s="112">
        <v>0</v>
      </c>
      <c r="O300" s="212" t="str">
        <f>IF(VEND[[#This Row],[STATUS]]="O.C",(VEND[[#This Row],[Fecha Recibe
O.C]]+VEND[[#This Row],[Dias
entrega ]]),"")</f>
        <v/>
      </c>
      <c r="P300" s="212"/>
      <c r="Q300" s="58" t="str">
        <f>IFERROR(VEND[[#This Row],[Fecha de Despacho]]-VEND[[#This Row],[Fecha Estimada de Entrega a  Cliente]],"")</f>
        <v/>
      </c>
      <c r="R3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0" s="112" t="str">
        <f>IF(VEND[[#This Row],[STATUS]]="O.C","APROBADO",IF(VEND[[#This Row],[STATUS]]="PERDIDO","PERDIDO",IF(VEND[[#This Row],[STATUS]]="EN ESPERA","EN ESPERA")))</f>
        <v>PERDIDO</v>
      </c>
      <c r="T300" s="112" t="str">
        <f>IF(VEND[[#This Row],[STATUS]]="O.C","APROBADO",IF(VEND[[#This Row],[STATUS]]="PERDIDO","PERDIDO",IF(VEND[[#This Row],[STATUS]]="EN ESPERA","EN ESPERA")))</f>
        <v>PERDIDO</v>
      </c>
      <c r="U300" s="55" t="s">
        <v>23</v>
      </c>
      <c r="V300" s="55" t="s">
        <v>23</v>
      </c>
      <c r="W300" s="55" t="s">
        <v>1401</v>
      </c>
      <c r="X300" s="112"/>
    </row>
    <row r="301" spans="2:24" ht="15.75" x14ac:dyDescent="0.25">
      <c r="B301" s="71">
        <v>44309</v>
      </c>
      <c r="C301" s="71" t="str">
        <f>TEXT(VEND[[#This Row],[Fecha de Envío
Cotización]],"mmmm")</f>
        <v>abril</v>
      </c>
      <c r="D301" s="66" t="s">
        <v>68</v>
      </c>
      <c r="E301" s="125" t="s">
        <v>42</v>
      </c>
      <c r="F301" s="125" t="str">
        <f>IF(VEND[[#This Row],[STATUS]]="PERDIDO","N/A","En espera")</f>
        <v>N/A</v>
      </c>
      <c r="G301" s="125" t="str">
        <f>TEXT(VEND[[#This Row],[Fecha Recibe
O.C]],"mmmm")</f>
        <v>N/A</v>
      </c>
      <c r="H301" s="112">
        <v>2609</v>
      </c>
      <c r="I301" s="55" t="s">
        <v>91</v>
      </c>
      <c r="J301" s="112"/>
      <c r="K301" s="58">
        <v>9</v>
      </c>
      <c r="L301" s="123">
        <v>303.56</v>
      </c>
      <c r="M301" s="112" t="s">
        <v>22</v>
      </c>
      <c r="N301" s="112">
        <v>0</v>
      </c>
      <c r="O301" s="212" t="str">
        <f>IF(VEND[[#This Row],[STATUS]]="O.C",(VEND[[#This Row],[Fecha Recibe
O.C]]+VEND[[#This Row],[Dias
entrega ]]),"")</f>
        <v/>
      </c>
      <c r="P301" s="212"/>
      <c r="Q301" s="58" t="str">
        <f>IFERROR(VEND[[#This Row],[Fecha de Despacho]]-VEND[[#This Row],[Fecha Estimada de Entrega a  Cliente]],"")</f>
        <v/>
      </c>
      <c r="R3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1" s="112" t="str">
        <f>IF(VEND[[#This Row],[STATUS]]="O.C","APROBADO",IF(VEND[[#This Row],[STATUS]]="PERDIDO","PERDIDO",IF(VEND[[#This Row],[STATUS]]="EN ESPERA","EN ESPERA")))</f>
        <v>PERDIDO</v>
      </c>
      <c r="T301" s="112" t="str">
        <f>IF(VEND[[#This Row],[STATUS]]="O.C","APROBADO",IF(VEND[[#This Row],[STATUS]]="PERDIDO","PERDIDO",IF(VEND[[#This Row],[STATUS]]="EN ESPERA","EN ESPERA")))</f>
        <v>PERDIDO</v>
      </c>
      <c r="U301" s="55" t="s">
        <v>23</v>
      </c>
      <c r="V301" s="55" t="s">
        <v>23</v>
      </c>
      <c r="W301" s="55" t="s">
        <v>1401</v>
      </c>
      <c r="X301" s="112"/>
    </row>
    <row r="302" spans="2:24" ht="15.75" x14ac:dyDescent="0.25">
      <c r="B302" s="71">
        <v>44309</v>
      </c>
      <c r="C302" s="71" t="str">
        <f>TEXT(VEND[[#This Row],[Fecha de Envío
Cotización]],"mmmm")</f>
        <v>abril</v>
      </c>
      <c r="D302" s="66" t="s">
        <v>41</v>
      </c>
      <c r="E302" s="125" t="s">
        <v>88</v>
      </c>
      <c r="F302" s="125" t="str">
        <f>IF(VEND[[#This Row],[STATUS]]="PERDIDO","N/A","En espera")</f>
        <v>En espera</v>
      </c>
      <c r="G302" s="125" t="str">
        <f>TEXT(VEND[[#This Row],[Fecha Recibe
O.C]],"mmmm")</f>
        <v>En espera</v>
      </c>
      <c r="H302" s="112">
        <v>3504</v>
      </c>
      <c r="I302" s="55" t="s">
        <v>413</v>
      </c>
      <c r="J302" s="112"/>
      <c r="K302" s="58">
        <v>1</v>
      </c>
      <c r="L302" s="123">
        <v>226.56</v>
      </c>
      <c r="M302" s="112" t="s">
        <v>73</v>
      </c>
      <c r="N302" s="112">
        <v>14</v>
      </c>
      <c r="O302" s="212" t="str">
        <f>IF(VEND[[#This Row],[STATUS]]="O.C",(VEND[[#This Row],[Fecha Recibe
O.C]]+VEND[[#This Row],[Dias
entrega ]]),"")</f>
        <v/>
      </c>
      <c r="P302" s="212"/>
      <c r="Q302" s="58" t="str">
        <f>IFERROR(VEND[[#This Row],[Fecha de Despacho]]-VEND[[#This Row],[Fecha Estimada de Entrega a  Cliente]],"")</f>
        <v/>
      </c>
      <c r="R3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2" s="112" t="str">
        <f>IF(VEND[[#This Row],[STATUS]]="O.C","APROBADO",IF(VEND[[#This Row],[STATUS]]="PERDIDO","PERDIDO",IF(VEND[[#This Row],[STATUS]]="EN ESPERA","EN ESPERA")))</f>
        <v>EN ESPERA</v>
      </c>
      <c r="T302" s="112" t="str">
        <f>IF(VEND[[#This Row],[STATUS]]="O.C","APROBADO",IF(VEND[[#This Row],[STATUS]]="PERDIDO","PERDIDO",IF(VEND[[#This Row],[STATUS]]="EN ESPERA","EN ESPERA")))</f>
        <v>EN ESPERA</v>
      </c>
      <c r="U302" s="112" t="s">
        <v>23</v>
      </c>
      <c r="V302" s="112" t="s">
        <v>23</v>
      </c>
      <c r="W302" s="112" t="s">
        <v>1402</v>
      </c>
      <c r="X302" s="112"/>
    </row>
    <row r="303" spans="2:24" ht="15.75" x14ac:dyDescent="0.25">
      <c r="B303" s="71">
        <v>44309</v>
      </c>
      <c r="C303" s="71" t="str">
        <f>TEXT(VEND[[#This Row],[Fecha de Envío
Cotización]],"mmmm")</f>
        <v>abril</v>
      </c>
      <c r="D303" s="66" t="s">
        <v>41</v>
      </c>
      <c r="E303" s="125" t="s">
        <v>83</v>
      </c>
      <c r="F303" s="93">
        <v>44314</v>
      </c>
      <c r="G303" s="93" t="str">
        <f>TEXT(VEND[[#This Row],[Fecha Recibe
O.C]],"mmmm")</f>
        <v>abril</v>
      </c>
      <c r="H303" s="112">
        <v>3505</v>
      </c>
      <c r="I303" s="55" t="s">
        <v>298</v>
      </c>
      <c r="J303" s="112"/>
      <c r="K303" s="58">
        <v>1</v>
      </c>
      <c r="L303" s="123">
        <v>176.85</v>
      </c>
      <c r="M303" s="55" t="s">
        <v>73</v>
      </c>
      <c r="N303" s="112">
        <v>14</v>
      </c>
      <c r="O303" s="212">
        <f>IF(VEND[[#This Row],[STATUS]]="O.C",(VEND[[#This Row],[Fecha Recibe
O.C]]+VEND[[#This Row],[Dias
entrega ]]),"")</f>
        <v>44328</v>
      </c>
      <c r="P303" s="212">
        <v>44337</v>
      </c>
      <c r="Q303" s="58">
        <f>IFERROR(VEND[[#This Row],[Fecha de Despacho]]-VEND[[#This Row],[Fecha Estimada de Entrega a  Cliente]],"")</f>
        <v>9</v>
      </c>
      <c r="R3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303" s="112" t="str">
        <f>IF(VEND[[#This Row],[STATUS]]="O.C","APROBADO",IF(VEND[[#This Row],[STATUS]]="PERDIDO","PERDIDO",IF(VEND[[#This Row],[STATUS]]="EN ESPERA","EN ESPERA")))</f>
        <v>APROBADO</v>
      </c>
      <c r="T303" s="112" t="str">
        <f>IF(VEND[[#This Row],[STATUS]]="O.C","APROBADO",IF(VEND[[#This Row],[STATUS]]="PERDIDO","PERDIDO",IF(VEND[[#This Row],[STATUS]]="EN ESPERA","EN ESPERA")))</f>
        <v>APROBADO</v>
      </c>
      <c r="U303" s="55" t="s">
        <v>45</v>
      </c>
      <c r="V303" s="55" t="s">
        <v>47</v>
      </c>
      <c r="W303" s="55" t="s">
        <v>1407</v>
      </c>
      <c r="X303" s="112"/>
    </row>
    <row r="304" spans="2:24" ht="15.75" x14ac:dyDescent="0.25">
      <c r="B304" s="71">
        <v>44309</v>
      </c>
      <c r="C304" s="71" t="str">
        <f>TEXT(VEND[[#This Row],[Fecha de Envío
Cotización]],"mmmm")</f>
        <v>abril</v>
      </c>
      <c r="D304" s="66" t="s">
        <v>1163</v>
      </c>
      <c r="E304" s="125" t="s">
        <v>88</v>
      </c>
      <c r="F304" s="125" t="str">
        <f>IF(VEND[[#This Row],[STATUS]]="PERDIDO","N/A","En espera")</f>
        <v>En espera</v>
      </c>
      <c r="G304" s="125" t="str">
        <f>TEXT(VEND[[#This Row],[Fecha Recibe
O.C]],"mmmm")</f>
        <v>En espera</v>
      </c>
      <c r="H304" s="112">
        <v>4508</v>
      </c>
      <c r="I304" s="55" t="s">
        <v>1241</v>
      </c>
      <c r="J304" s="112"/>
      <c r="K304" s="58">
        <v>1</v>
      </c>
      <c r="L304" s="123">
        <v>2014.8</v>
      </c>
      <c r="M304" s="55"/>
      <c r="N304" s="112"/>
      <c r="O304" s="212" t="str">
        <f>IF(VEND[[#This Row],[STATUS]]="O.C",(VEND[[#This Row],[Fecha Recibe
O.C]]+VEND[[#This Row],[Dias
entrega ]]),"")</f>
        <v/>
      </c>
      <c r="P304" s="212"/>
      <c r="Q304" s="58" t="str">
        <f>IFERROR(VEND[[#This Row],[Fecha de Despacho]]-VEND[[#This Row],[Fecha Estimada de Entrega a  Cliente]],"")</f>
        <v/>
      </c>
      <c r="R3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4" s="112" t="str">
        <f>IF(VEND[[#This Row],[STATUS]]="O.C","APROBADO",IF(VEND[[#This Row],[STATUS]]="PERDIDO","PERDIDO",IF(VEND[[#This Row],[STATUS]]="EN ESPERA","EN ESPERA")))</f>
        <v>EN ESPERA</v>
      </c>
      <c r="T304" s="112" t="str">
        <f>IF(VEND[[#This Row],[STATUS]]="O.C","APROBADO",IF(VEND[[#This Row],[STATUS]]="PERDIDO","PERDIDO",IF(VEND[[#This Row],[STATUS]]="EN ESPERA","EN ESPERA")))</f>
        <v>EN ESPERA</v>
      </c>
      <c r="U304" s="55" t="s">
        <v>23</v>
      </c>
      <c r="V304" s="55" t="s">
        <v>23</v>
      </c>
      <c r="W304" s="55" t="s">
        <v>1409</v>
      </c>
      <c r="X304" s="112"/>
    </row>
    <row r="305" spans="2:24" ht="15.75" x14ac:dyDescent="0.25">
      <c r="B305" s="71">
        <v>44309</v>
      </c>
      <c r="C305" s="71" t="str">
        <f>TEXT(VEND[[#This Row],[Fecha de Envío
Cotización]],"mmmm")</f>
        <v>abril</v>
      </c>
      <c r="D305" s="66" t="s">
        <v>1163</v>
      </c>
      <c r="E305" s="92" t="s">
        <v>88</v>
      </c>
      <c r="F305" s="125" t="str">
        <f>IF(VEND[[#This Row],[STATUS]]="PERDIDO","N/A","En espera")</f>
        <v>En espera</v>
      </c>
      <c r="G305" s="125" t="str">
        <f>TEXT(VEND[[#This Row],[Fecha Recibe
O.C]],"mmmm")</f>
        <v>En espera</v>
      </c>
      <c r="H305" s="112">
        <v>4509</v>
      </c>
      <c r="I305" s="55" t="s">
        <v>1241</v>
      </c>
      <c r="J305" s="55"/>
      <c r="K305" s="58">
        <v>1</v>
      </c>
      <c r="L305" s="123">
        <v>122.72</v>
      </c>
      <c r="M305" s="112"/>
      <c r="N305" s="112"/>
      <c r="O305" s="212" t="str">
        <f>IF(VEND[[#This Row],[STATUS]]="O.C",(VEND[[#This Row],[Fecha Recibe
O.C]]+VEND[[#This Row],[Dias
entrega ]]),"")</f>
        <v/>
      </c>
      <c r="P305" s="212"/>
      <c r="Q305" s="58" t="str">
        <f>IFERROR(VEND[[#This Row],[Fecha de Despacho]]-VEND[[#This Row],[Fecha Estimada de Entrega a  Cliente]],"")</f>
        <v/>
      </c>
      <c r="R3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5" s="55" t="str">
        <f>IF(VEND[[#This Row],[STATUS]]="O.C","APROBADO",IF(VEND[[#This Row],[STATUS]]="PERDIDO","PERDIDO",IF(VEND[[#This Row],[STATUS]]="EN ESPERA","EN ESPERA")))</f>
        <v>EN ESPERA</v>
      </c>
      <c r="T305" s="55" t="str">
        <f>IF(VEND[[#This Row],[STATUS]]="O.C","APROBADO",IF(VEND[[#This Row],[STATUS]]="PERDIDO","PERDIDO",IF(VEND[[#This Row],[STATUS]]="EN ESPERA","EN ESPERA")))</f>
        <v>EN ESPERA</v>
      </c>
      <c r="U305" s="112" t="s">
        <v>23</v>
      </c>
      <c r="V305" s="112" t="s">
        <v>23</v>
      </c>
      <c r="W305" s="112" t="s">
        <v>1409</v>
      </c>
      <c r="X305" s="112"/>
    </row>
    <row r="306" spans="2:24" ht="15.75" x14ac:dyDescent="0.25">
      <c r="B306" s="71">
        <v>44309</v>
      </c>
      <c r="C306" s="71" t="str">
        <f>TEXT(VEND[[#This Row],[Fecha de Envío
Cotización]],"mmmm")</f>
        <v>abril</v>
      </c>
      <c r="D306" s="66" t="s">
        <v>1163</v>
      </c>
      <c r="E306" s="125" t="s">
        <v>88</v>
      </c>
      <c r="F306" s="125" t="str">
        <f>IF(VEND[[#This Row],[STATUS]]="PERDIDO","N/A","En espera")</f>
        <v>En espera</v>
      </c>
      <c r="G306" s="125" t="str">
        <f>TEXT(VEND[[#This Row],[Fecha Recibe
O.C]],"mmmm")</f>
        <v>En espera</v>
      </c>
      <c r="H306" s="112">
        <v>4511</v>
      </c>
      <c r="I306" s="55" t="s">
        <v>1241</v>
      </c>
      <c r="J306" s="112"/>
      <c r="K306" s="58">
        <v>1</v>
      </c>
      <c r="L306" s="123">
        <v>1416.88</v>
      </c>
      <c r="M306" s="112"/>
      <c r="N306" s="112"/>
      <c r="O306" s="212" t="str">
        <f>IF(VEND[[#This Row],[STATUS]]="O.C",(VEND[[#This Row],[Fecha Recibe
O.C]]+VEND[[#This Row],[Dias
entrega ]]),"")</f>
        <v/>
      </c>
      <c r="P306" s="212"/>
      <c r="Q306" s="58" t="str">
        <f>IFERROR(VEND[[#This Row],[Fecha de Despacho]]-VEND[[#This Row],[Fecha Estimada de Entrega a  Cliente]],"")</f>
        <v/>
      </c>
      <c r="R3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6" s="112" t="str">
        <f>IF(VEND[[#This Row],[STATUS]]="O.C","APROBADO",IF(VEND[[#This Row],[STATUS]]="PERDIDO","PERDIDO",IF(VEND[[#This Row],[STATUS]]="EN ESPERA","EN ESPERA")))</f>
        <v>EN ESPERA</v>
      </c>
      <c r="T306" s="112" t="str">
        <f>IF(VEND[[#This Row],[STATUS]]="O.C","APROBADO",IF(VEND[[#This Row],[STATUS]]="PERDIDO","PERDIDO",IF(VEND[[#This Row],[STATUS]]="EN ESPERA","EN ESPERA")))</f>
        <v>EN ESPERA</v>
      </c>
      <c r="U306" s="112" t="s">
        <v>23</v>
      </c>
      <c r="V306" s="112" t="s">
        <v>23</v>
      </c>
      <c r="W306" s="112" t="s">
        <v>1409</v>
      </c>
      <c r="X306" s="112"/>
    </row>
    <row r="307" spans="2:24" ht="15.75" x14ac:dyDescent="0.25">
      <c r="B307" s="71">
        <v>44309</v>
      </c>
      <c r="C307" s="71" t="str">
        <f>TEXT(VEND[[#This Row],[Fecha de Envío
Cotización]],"mmmm")</f>
        <v>abril</v>
      </c>
      <c r="D307" s="66" t="s">
        <v>1163</v>
      </c>
      <c r="E307" s="125" t="s">
        <v>88</v>
      </c>
      <c r="F307" s="125" t="str">
        <f>IF(VEND[[#This Row],[STATUS]]="PERDIDO","N/A","En espera")</f>
        <v>En espera</v>
      </c>
      <c r="G307" s="125" t="str">
        <f>TEXT(VEND[[#This Row],[Fecha Recibe
O.C]],"mmmm")</f>
        <v>En espera</v>
      </c>
      <c r="H307" s="112">
        <v>4512</v>
      </c>
      <c r="I307" s="55" t="s">
        <v>1241</v>
      </c>
      <c r="J307" s="112"/>
      <c r="K307" s="58">
        <v>1</v>
      </c>
      <c r="L307" s="123">
        <v>123.92</v>
      </c>
      <c r="M307" s="112"/>
      <c r="N307" s="112"/>
      <c r="O307" s="212" t="str">
        <f>IF(VEND[[#This Row],[STATUS]]="O.C",(VEND[[#This Row],[Fecha Recibe
O.C]]+VEND[[#This Row],[Dias
entrega ]]),"")</f>
        <v/>
      </c>
      <c r="P307" s="212"/>
      <c r="Q307" s="58" t="str">
        <f>IFERROR(VEND[[#This Row],[Fecha de Despacho]]-VEND[[#This Row],[Fecha Estimada de Entrega a  Cliente]],"")</f>
        <v/>
      </c>
      <c r="R3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7" s="112" t="str">
        <f>IF(VEND[[#This Row],[STATUS]]="O.C","APROBADO",IF(VEND[[#This Row],[STATUS]]="PERDIDO","PERDIDO",IF(VEND[[#This Row],[STATUS]]="EN ESPERA","EN ESPERA")))</f>
        <v>EN ESPERA</v>
      </c>
      <c r="T307" s="112" t="str">
        <f>IF(VEND[[#This Row],[STATUS]]="O.C","APROBADO",IF(VEND[[#This Row],[STATUS]]="PERDIDO","PERDIDO",IF(VEND[[#This Row],[STATUS]]="EN ESPERA","EN ESPERA")))</f>
        <v>EN ESPERA</v>
      </c>
      <c r="U307" s="112" t="s">
        <v>23</v>
      </c>
      <c r="V307" s="112" t="s">
        <v>23</v>
      </c>
      <c r="W307" s="112" t="s">
        <v>1409</v>
      </c>
      <c r="X307" s="112"/>
    </row>
    <row r="308" spans="2:24" ht="15.75" x14ac:dyDescent="0.25">
      <c r="B308" s="71">
        <v>44309</v>
      </c>
      <c r="C308" s="71" t="str">
        <f>TEXT(VEND[[#This Row],[Fecha de Envío
Cotización]],"mmmm")</f>
        <v>abril</v>
      </c>
      <c r="D308" s="66" t="s">
        <v>1163</v>
      </c>
      <c r="E308" s="125" t="s">
        <v>88</v>
      </c>
      <c r="F308" s="125" t="str">
        <f>IF(VEND[[#This Row],[STATUS]]="PERDIDO","N/A","En espera")</f>
        <v>En espera</v>
      </c>
      <c r="G308" s="125" t="str">
        <f>TEXT(VEND[[#This Row],[Fecha Recibe
O.C]],"mmmm")</f>
        <v>En espera</v>
      </c>
      <c r="H308" s="112">
        <v>4513</v>
      </c>
      <c r="I308" s="55" t="s">
        <v>1241</v>
      </c>
      <c r="J308" s="112"/>
      <c r="K308" s="58">
        <v>1</v>
      </c>
      <c r="L308" s="123">
        <v>596.11</v>
      </c>
      <c r="M308" s="112"/>
      <c r="N308" s="112"/>
      <c r="O308" s="212" t="str">
        <f>IF(VEND[[#This Row],[STATUS]]="O.C",(VEND[[#This Row],[Fecha Recibe
O.C]]+VEND[[#This Row],[Dias
entrega ]]),"")</f>
        <v/>
      </c>
      <c r="P308" s="212"/>
      <c r="Q308" s="58" t="str">
        <f>IFERROR(VEND[[#This Row],[Fecha de Despacho]]-VEND[[#This Row],[Fecha Estimada de Entrega a  Cliente]],"")</f>
        <v/>
      </c>
      <c r="R30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8" s="112" t="str">
        <f>IF(VEND[[#This Row],[STATUS]]="O.C","APROBADO",IF(VEND[[#This Row],[STATUS]]="PERDIDO","PERDIDO",IF(VEND[[#This Row],[STATUS]]="EN ESPERA","EN ESPERA")))</f>
        <v>EN ESPERA</v>
      </c>
      <c r="T308" s="112" t="str">
        <f>IF(VEND[[#This Row],[STATUS]]="O.C","APROBADO",IF(VEND[[#This Row],[STATUS]]="PERDIDO","PERDIDO",IF(VEND[[#This Row],[STATUS]]="EN ESPERA","EN ESPERA")))</f>
        <v>EN ESPERA</v>
      </c>
      <c r="U308" s="112" t="s">
        <v>23</v>
      </c>
      <c r="V308" s="112" t="s">
        <v>23</v>
      </c>
      <c r="W308" s="112" t="s">
        <v>1409</v>
      </c>
      <c r="X308" s="112"/>
    </row>
    <row r="309" spans="2:24" ht="15.75" x14ac:dyDescent="0.25">
      <c r="B309" s="71">
        <v>44309</v>
      </c>
      <c r="C309" s="71" t="str">
        <f>TEXT(VEND[[#This Row],[Fecha de Envío
Cotización]],"mmmm")</f>
        <v>abril</v>
      </c>
      <c r="D309" s="66" t="s">
        <v>1163</v>
      </c>
      <c r="E309" s="125" t="s">
        <v>88</v>
      </c>
      <c r="F309" s="125" t="str">
        <f>IF(VEND[[#This Row],[STATUS]]="PERDIDO","N/A","En espera")</f>
        <v>En espera</v>
      </c>
      <c r="G309" s="125" t="str">
        <f>TEXT(VEND[[#This Row],[Fecha Recibe
O.C]],"mmmm")</f>
        <v>En espera</v>
      </c>
      <c r="H309" s="112">
        <v>4513</v>
      </c>
      <c r="I309" s="55" t="s">
        <v>1241</v>
      </c>
      <c r="J309" s="112"/>
      <c r="K309" s="58">
        <v>1</v>
      </c>
      <c r="L309" s="123">
        <v>959.34</v>
      </c>
      <c r="M309" s="112"/>
      <c r="N309" s="112"/>
      <c r="O309" s="212" t="str">
        <f>IF(VEND[[#This Row],[STATUS]]="O.C",(VEND[[#This Row],[Fecha Recibe
O.C]]+VEND[[#This Row],[Dias
entrega ]]),"")</f>
        <v/>
      </c>
      <c r="P309" s="212"/>
      <c r="Q309" s="58" t="str">
        <f>IFERROR(VEND[[#This Row],[Fecha de Despacho]]-VEND[[#This Row],[Fecha Estimada de Entrega a  Cliente]],"")</f>
        <v/>
      </c>
      <c r="R3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09" s="112" t="str">
        <f>IF(VEND[[#This Row],[STATUS]]="O.C","APROBADO",IF(VEND[[#This Row],[STATUS]]="PERDIDO","PERDIDO",IF(VEND[[#This Row],[STATUS]]="EN ESPERA","EN ESPERA")))</f>
        <v>EN ESPERA</v>
      </c>
      <c r="T309" s="112" t="str">
        <f>IF(VEND[[#This Row],[STATUS]]="O.C","APROBADO",IF(VEND[[#This Row],[STATUS]]="PERDIDO","PERDIDO",IF(VEND[[#This Row],[STATUS]]="EN ESPERA","EN ESPERA")))</f>
        <v>EN ESPERA</v>
      </c>
      <c r="U309" s="112" t="s">
        <v>23</v>
      </c>
      <c r="V309" s="112" t="s">
        <v>23</v>
      </c>
      <c r="W309" s="112" t="s">
        <v>1409</v>
      </c>
      <c r="X309" s="112"/>
    </row>
    <row r="310" spans="2:24" ht="15.75" x14ac:dyDescent="0.25">
      <c r="B310" s="71">
        <v>44309</v>
      </c>
      <c r="C310" s="71" t="str">
        <f>TEXT(VEND[[#This Row],[Fecha de Envío
Cotización]],"mmmm")</f>
        <v>abril</v>
      </c>
      <c r="D310" s="66" t="s">
        <v>1163</v>
      </c>
      <c r="E310" s="125" t="s">
        <v>88</v>
      </c>
      <c r="F310" s="125" t="str">
        <f>IF(VEND[[#This Row],[STATUS]]="PERDIDO","N/A","En espera")</f>
        <v>En espera</v>
      </c>
      <c r="G310" s="125" t="str">
        <f>TEXT(VEND[[#This Row],[Fecha Recibe
O.C]],"mmmm")</f>
        <v>En espera</v>
      </c>
      <c r="H310" s="112">
        <v>4515</v>
      </c>
      <c r="I310" s="55" t="s">
        <v>1241</v>
      </c>
      <c r="J310" s="55"/>
      <c r="K310" s="58">
        <v>1</v>
      </c>
      <c r="L310" s="123">
        <v>540.96</v>
      </c>
      <c r="M310" s="112"/>
      <c r="N310" s="112"/>
      <c r="O310" s="212" t="str">
        <f>IF(VEND[[#This Row],[STATUS]]="O.C",(VEND[[#This Row],[Fecha Recibe
O.C]]+VEND[[#This Row],[Dias
entrega ]]),"")</f>
        <v/>
      </c>
      <c r="P310" s="212"/>
      <c r="Q310" s="58" t="str">
        <f>IFERROR(VEND[[#This Row],[Fecha de Despacho]]-VEND[[#This Row],[Fecha Estimada de Entrega a  Cliente]],"")</f>
        <v/>
      </c>
      <c r="R3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0" s="55" t="str">
        <f>IF(VEND[[#This Row],[STATUS]]="O.C","APROBADO",IF(VEND[[#This Row],[STATUS]]="PERDIDO","PERDIDO",IF(VEND[[#This Row],[STATUS]]="EN ESPERA","EN ESPERA")))</f>
        <v>EN ESPERA</v>
      </c>
      <c r="T310" s="55" t="str">
        <f>IF(VEND[[#This Row],[STATUS]]="O.C","APROBADO",IF(VEND[[#This Row],[STATUS]]="PERDIDO","PERDIDO",IF(VEND[[#This Row],[STATUS]]="EN ESPERA","EN ESPERA")))</f>
        <v>EN ESPERA</v>
      </c>
      <c r="U310" s="112" t="s">
        <v>23</v>
      </c>
      <c r="V310" s="112" t="s">
        <v>23</v>
      </c>
      <c r="W310" s="112" t="s">
        <v>1409</v>
      </c>
      <c r="X310" s="112"/>
    </row>
    <row r="311" spans="2:24" ht="15.75" x14ac:dyDescent="0.25">
      <c r="B311" s="71">
        <v>44309</v>
      </c>
      <c r="C311" s="71" t="str">
        <f>TEXT(VEND[[#This Row],[Fecha de Envío
Cotización]],"mmmm")</f>
        <v>abril</v>
      </c>
      <c r="D311" s="66" t="s">
        <v>1163</v>
      </c>
      <c r="E311" s="125" t="s">
        <v>88</v>
      </c>
      <c r="F311" s="125" t="str">
        <f>IF(VEND[[#This Row],[STATUS]]="PERDIDO","N/A","En espera")</f>
        <v>En espera</v>
      </c>
      <c r="G311" s="125" t="str">
        <f>TEXT(VEND[[#This Row],[Fecha Recibe
O.C]],"mmmm")</f>
        <v>En espera</v>
      </c>
      <c r="H311" s="112">
        <v>4516</v>
      </c>
      <c r="I311" s="55" t="s">
        <v>1241</v>
      </c>
      <c r="J311" s="112"/>
      <c r="K311" s="58">
        <v>1</v>
      </c>
      <c r="L311" s="123">
        <v>6669.56</v>
      </c>
      <c r="M311" s="112"/>
      <c r="N311" s="112"/>
      <c r="O311" s="212" t="str">
        <f>IF(VEND[[#This Row],[STATUS]]="O.C",(VEND[[#This Row],[Fecha Recibe
O.C]]+VEND[[#This Row],[Dias
entrega ]]),"")</f>
        <v/>
      </c>
      <c r="P311" s="212"/>
      <c r="Q311" s="58" t="str">
        <f>IFERROR(VEND[[#This Row],[Fecha de Despacho]]-VEND[[#This Row],[Fecha Estimada de Entrega a  Cliente]],"")</f>
        <v/>
      </c>
      <c r="R3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1" s="112" t="str">
        <f>IF(VEND[[#This Row],[STATUS]]="O.C","APROBADO",IF(VEND[[#This Row],[STATUS]]="PERDIDO","PERDIDO",IF(VEND[[#This Row],[STATUS]]="EN ESPERA","EN ESPERA")))</f>
        <v>EN ESPERA</v>
      </c>
      <c r="T311" s="112" t="str">
        <f>IF(VEND[[#This Row],[STATUS]]="O.C","APROBADO",IF(VEND[[#This Row],[STATUS]]="PERDIDO","PERDIDO",IF(VEND[[#This Row],[STATUS]]="EN ESPERA","EN ESPERA")))</f>
        <v>EN ESPERA</v>
      </c>
      <c r="U311" s="112" t="s">
        <v>23</v>
      </c>
      <c r="V311" s="112" t="s">
        <v>23</v>
      </c>
      <c r="W311" s="112" t="s">
        <v>1409</v>
      </c>
      <c r="X311" s="112"/>
    </row>
    <row r="312" spans="2:24" ht="15.75" x14ac:dyDescent="0.25">
      <c r="B312" s="71">
        <v>44312</v>
      </c>
      <c r="C312" s="71" t="str">
        <f>TEXT(VEND[[#This Row],[Fecha de Envío
Cotización]],"mmmm")</f>
        <v>abril</v>
      </c>
      <c r="D312" s="66" t="s">
        <v>50</v>
      </c>
      <c r="E312" s="125" t="s">
        <v>83</v>
      </c>
      <c r="F312" s="125">
        <v>44343</v>
      </c>
      <c r="G312" s="125" t="str">
        <f>TEXT(VEND[[#This Row],[Fecha Recibe
O.C]],"mmmm")</f>
        <v>mayo</v>
      </c>
      <c r="H312" s="112">
        <v>1514</v>
      </c>
      <c r="I312" s="55" t="s">
        <v>123</v>
      </c>
      <c r="J312" s="112"/>
      <c r="K312" s="58">
        <v>1</v>
      </c>
      <c r="L312" s="123">
        <v>164.39</v>
      </c>
      <c r="M312" s="112" t="s">
        <v>134</v>
      </c>
      <c r="N312" s="112">
        <v>28</v>
      </c>
      <c r="O312" s="212">
        <f>IF(VEND[[#This Row],[STATUS]]="O.C",(VEND[[#This Row],[Fecha Recibe
O.C]]+VEND[[#This Row],[Dias
entrega ]]),"")</f>
        <v>44371</v>
      </c>
      <c r="P312" s="212"/>
      <c r="Q312" s="58">
        <f>IFERROR(VEND[[#This Row],[Fecha de Despacho]]-VEND[[#This Row],[Fecha Estimada de Entrega a  Cliente]],"")</f>
        <v>-44371</v>
      </c>
      <c r="R3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2" s="112" t="str">
        <f>IF(VEND[[#This Row],[STATUS]]="O.C","APROBADO",IF(VEND[[#This Row],[STATUS]]="PERDIDO","PERDIDO",IF(VEND[[#This Row],[STATUS]]="EN ESPERA","EN ESPERA")))</f>
        <v>APROBADO</v>
      </c>
      <c r="T312" s="112" t="str">
        <f>IF(VEND[[#This Row],[STATUS]]="O.C","APROBADO",IF(VEND[[#This Row],[STATUS]]="PERDIDO","PERDIDO",IF(VEND[[#This Row],[STATUS]]="EN ESPERA","EN ESPERA")))</f>
        <v>APROBADO</v>
      </c>
      <c r="U312" s="112" t="s">
        <v>46</v>
      </c>
      <c r="V312" s="112" t="s">
        <v>46</v>
      </c>
      <c r="W312" s="112" t="s">
        <v>1401</v>
      </c>
      <c r="X312" s="112"/>
    </row>
    <row r="313" spans="2:24" ht="15.75" x14ac:dyDescent="0.25">
      <c r="B313" s="71">
        <v>44312</v>
      </c>
      <c r="C313" s="71" t="str">
        <f>TEXT(VEND[[#This Row],[Fecha de Envío
Cotización]],"mmmm")</f>
        <v>abril</v>
      </c>
      <c r="D313" s="66" t="s">
        <v>50</v>
      </c>
      <c r="E313" s="125" t="s">
        <v>42</v>
      </c>
      <c r="F313" s="125" t="str">
        <f>IF(VEND[[#This Row],[STATUS]]="PERDIDO","N/A","En espera")</f>
        <v>N/A</v>
      </c>
      <c r="G313" s="125" t="str">
        <f>TEXT(VEND[[#This Row],[Fecha Recibe
O.C]],"mmmm")</f>
        <v>N/A</v>
      </c>
      <c r="H313" s="112">
        <v>1515</v>
      </c>
      <c r="I313" s="55" t="s">
        <v>123</v>
      </c>
      <c r="J313" s="112"/>
      <c r="K313" s="58">
        <v>1</v>
      </c>
      <c r="L313" s="123">
        <v>58435.66</v>
      </c>
      <c r="M313" s="112" t="s">
        <v>926</v>
      </c>
      <c r="N313" s="112">
        <v>42</v>
      </c>
      <c r="O313" s="212" t="str">
        <f>IF(VEND[[#This Row],[STATUS]]="O.C",(VEND[[#This Row],[Fecha Recibe
O.C]]+VEND[[#This Row],[Dias
entrega ]]),"")</f>
        <v/>
      </c>
      <c r="P313" s="212"/>
      <c r="Q313" s="58" t="str">
        <f>IFERROR(VEND[[#This Row],[Fecha de Despacho]]-VEND[[#This Row],[Fecha Estimada de Entrega a  Cliente]],"")</f>
        <v/>
      </c>
      <c r="R3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3" s="112" t="str">
        <f>IF(VEND[[#This Row],[STATUS]]="O.C","APROBADO",IF(VEND[[#This Row],[STATUS]]="PERDIDO","PERDIDO",IF(VEND[[#This Row],[STATUS]]="EN ESPERA","EN ESPERA")))</f>
        <v>PERDIDO</v>
      </c>
      <c r="T313" s="112" t="str">
        <f>IF(VEND[[#This Row],[STATUS]]="O.C","APROBADO",IF(VEND[[#This Row],[STATUS]]="PERDIDO","PERDIDO",IF(VEND[[#This Row],[STATUS]]="EN ESPERA","EN ESPERA")))</f>
        <v>PERDIDO</v>
      </c>
      <c r="U313" s="112" t="s">
        <v>23</v>
      </c>
      <c r="V313" s="112" t="s">
        <v>23</v>
      </c>
      <c r="W313" s="112" t="s">
        <v>1401</v>
      </c>
      <c r="X313" s="112"/>
    </row>
    <row r="314" spans="2:24" ht="15.75" x14ac:dyDescent="0.25">
      <c r="B314" s="65">
        <v>44312</v>
      </c>
      <c r="C314" s="71" t="str">
        <f>TEXT(VEND[[#This Row],[Fecha de Envío
Cotización]],"mmmm")</f>
        <v>abril</v>
      </c>
      <c r="D314" s="66" t="s">
        <v>50</v>
      </c>
      <c r="E314" s="125" t="s">
        <v>42</v>
      </c>
      <c r="F314" s="125" t="str">
        <f>IF(VEND[[#This Row],[STATUS]]="PERDIDO","N/A","En espera")</f>
        <v>N/A</v>
      </c>
      <c r="G314" s="125" t="str">
        <f>TEXT(VEND[[#This Row],[Fecha Recibe
O.C]],"mmmm")</f>
        <v>N/A</v>
      </c>
      <c r="H314" s="112">
        <v>1517</v>
      </c>
      <c r="I314" s="55" t="s">
        <v>90</v>
      </c>
      <c r="J314" s="112"/>
      <c r="K314" s="58">
        <v>1</v>
      </c>
      <c r="L314" s="123">
        <v>251.7</v>
      </c>
      <c r="M314" s="112" t="s">
        <v>134</v>
      </c>
      <c r="N314" s="112">
        <v>28</v>
      </c>
      <c r="O314" s="212" t="str">
        <f>IF(VEND[[#This Row],[STATUS]]="O.C",(VEND[[#This Row],[Fecha Recibe
O.C]]+VEND[[#This Row],[Dias
entrega ]]),"")</f>
        <v/>
      </c>
      <c r="P314" s="212"/>
      <c r="Q314" s="58" t="str">
        <f>IFERROR(VEND[[#This Row],[Fecha de Despacho]]-VEND[[#This Row],[Fecha Estimada de Entrega a  Cliente]],"")</f>
        <v/>
      </c>
      <c r="R3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4" s="55" t="str">
        <f>IF(VEND[[#This Row],[STATUS]]="O.C","APROBADO",IF(VEND[[#This Row],[STATUS]]="PERDIDO","PERDIDO",IF(VEND[[#This Row],[STATUS]]="EN ESPERA","EN ESPERA")))</f>
        <v>PERDIDO</v>
      </c>
      <c r="T314" s="55" t="str">
        <f>IF(VEND[[#This Row],[STATUS]]="O.C","APROBADO",IF(VEND[[#This Row],[STATUS]]="PERDIDO","PERDIDO",IF(VEND[[#This Row],[STATUS]]="EN ESPERA","EN ESPERA")))</f>
        <v>PERDIDO</v>
      </c>
      <c r="U314" s="55" t="s">
        <v>23</v>
      </c>
      <c r="V314" s="55" t="s">
        <v>23</v>
      </c>
      <c r="W314" s="55" t="s">
        <v>1403</v>
      </c>
      <c r="X314" s="55"/>
    </row>
    <row r="315" spans="2:24" ht="15.75" x14ac:dyDescent="0.25">
      <c r="B315" s="71">
        <v>44312</v>
      </c>
      <c r="C315" s="71" t="str">
        <f>TEXT(VEND[[#This Row],[Fecha de Envío
Cotización]],"mmmm")</f>
        <v>abril</v>
      </c>
      <c r="D315" s="66" t="s">
        <v>50</v>
      </c>
      <c r="E315" s="125" t="s">
        <v>83</v>
      </c>
      <c r="F315" s="125">
        <v>44327</v>
      </c>
      <c r="G315" s="125" t="str">
        <f>TEXT(VEND[[#This Row],[Fecha Recibe
O.C]],"mmmm")</f>
        <v>mayo</v>
      </c>
      <c r="H315" s="112">
        <v>1517</v>
      </c>
      <c r="I315" s="55" t="s">
        <v>33</v>
      </c>
      <c r="J315" s="88"/>
      <c r="K315" s="58">
        <v>1</v>
      </c>
      <c r="L315" s="123">
        <v>729.83</v>
      </c>
      <c r="M315" s="55" t="s">
        <v>22</v>
      </c>
      <c r="N315" s="112">
        <v>0</v>
      </c>
      <c r="O315" s="212">
        <f>IF(VEND[[#This Row],[STATUS]]="O.C",(VEND[[#This Row],[Fecha Recibe
O.C]]+VEND[[#This Row],[Dias
entrega ]]),"")</f>
        <v>44327</v>
      </c>
      <c r="P315" s="212"/>
      <c r="Q315" s="58">
        <f>IFERROR(VEND[[#This Row],[Fecha de Despacho]]-VEND[[#This Row],[Fecha Estimada de Entrega a  Cliente]],"")</f>
        <v>-44327</v>
      </c>
      <c r="R3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5" s="112" t="str">
        <f>IF(VEND[[#This Row],[STATUS]]="O.C","APROBADO",IF(VEND[[#This Row],[STATUS]]="PERDIDO","PERDIDO",IF(VEND[[#This Row],[STATUS]]="EN ESPERA","EN ESPERA")))</f>
        <v>APROBADO</v>
      </c>
      <c r="T315" s="112" t="str">
        <f>IF(VEND[[#This Row],[STATUS]]="O.C","APROBADO",IF(VEND[[#This Row],[STATUS]]="PERDIDO","PERDIDO",IF(VEND[[#This Row],[STATUS]]="EN ESPERA","EN ESPERA")))</f>
        <v>APROBADO</v>
      </c>
      <c r="U315" s="55" t="s">
        <v>45</v>
      </c>
      <c r="V315" s="55" t="s">
        <v>46</v>
      </c>
      <c r="W315" s="55" t="s">
        <v>1402</v>
      </c>
      <c r="X315" s="112"/>
    </row>
    <row r="316" spans="2:24" ht="15.75" x14ac:dyDescent="0.25">
      <c r="B316" s="71">
        <v>44312</v>
      </c>
      <c r="C316" s="71" t="str">
        <f>TEXT(VEND[[#This Row],[Fecha de Envío
Cotización]],"mmmm")</f>
        <v>abril</v>
      </c>
      <c r="D316" s="66" t="s">
        <v>68</v>
      </c>
      <c r="E316" s="92" t="s">
        <v>42</v>
      </c>
      <c r="F316" s="125" t="str">
        <f>IF(VEND[[#This Row],[STATUS]]="PERDIDO","N/A","En espera")</f>
        <v>N/A</v>
      </c>
      <c r="G316" s="125" t="str">
        <f>TEXT(VEND[[#This Row],[Fecha Recibe
O.C]],"mmmm")</f>
        <v>N/A</v>
      </c>
      <c r="H316" s="112">
        <v>2610</v>
      </c>
      <c r="I316" s="55" t="s">
        <v>91</v>
      </c>
      <c r="J316" s="112"/>
      <c r="K316" s="58">
        <v>4</v>
      </c>
      <c r="L316" s="123">
        <v>147.44999999999999</v>
      </c>
      <c r="M316" s="112" t="s">
        <v>22</v>
      </c>
      <c r="N316" s="112">
        <v>0</v>
      </c>
      <c r="O316" s="212" t="str">
        <f>IF(VEND[[#This Row],[STATUS]]="O.C",(VEND[[#This Row],[Fecha Recibe
O.C]]+VEND[[#This Row],[Dias
entrega ]]),"")</f>
        <v/>
      </c>
      <c r="P316" s="212"/>
      <c r="Q316" s="58" t="str">
        <f>IFERROR(VEND[[#This Row],[Fecha de Despacho]]-VEND[[#This Row],[Fecha Estimada de Entrega a  Cliente]],"")</f>
        <v/>
      </c>
      <c r="R3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6" s="55" t="str">
        <f>IF(VEND[[#This Row],[STATUS]]="O.C","APROBADO",IF(VEND[[#This Row],[STATUS]]="PERDIDO","PERDIDO",IF(VEND[[#This Row],[STATUS]]="EN ESPERA","EN ESPERA")))</f>
        <v>PERDIDO</v>
      </c>
      <c r="T316" s="55" t="str">
        <f>IF(VEND[[#This Row],[STATUS]]="O.C","APROBADO",IF(VEND[[#This Row],[STATUS]]="PERDIDO","PERDIDO",IF(VEND[[#This Row],[STATUS]]="EN ESPERA","EN ESPERA")))</f>
        <v>PERDIDO</v>
      </c>
      <c r="U316" s="55" t="s">
        <v>23</v>
      </c>
      <c r="V316" s="55" t="s">
        <v>23</v>
      </c>
      <c r="W316" s="112" t="s">
        <v>1401</v>
      </c>
      <c r="X316" s="112"/>
    </row>
    <row r="317" spans="2:24" ht="15.75" x14ac:dyDescent="0.25">
      <c r="B317" s="71">
        <v>44312</v>
      </c>
      <c r="C317" s="71" t="str">
        <f>TEXT(VEND[[#This Row],[Fecha de Envío
Cotización]],"mmmm")</f>
        <v>abril</v>
      </c>
      <c r="D317" s="66" t="s">
        <v>41</v>
      </c>
      <c r="E317" s="125" t="s">
        <v>88</v>
      </c>
      <c r="F317" s="125" t="str">
        <f>IF(VEND[[#This Row],[STATUS]]="PERDIDO","N/A","En espera")</f>
        <v>En espera</v>
      </c>
      <c r="G317" s="125" t="str">
        <f>TEXT(VEND[[#This Row],[Fecha Recibe
O.C]],"mmmm")</f>
        <v>En espera</v>
      </c>
      <c r="H317" s="112">
        <v>3506</v>
      </c>
      <c r="I317" s="112" t="s">
        <v>413</v>
      </c>
      <c r="J317" s="112"/>
      <c r="K317" s="58">
        <v>1</v>
      </c>
      <c r="L317" s="123">
        <v>157.75</v>
      </c>
      <c r="M317" s="55" t="s">
        <v>73</v>
      </c>
      <c r="N317" s="112">
        <v>14</v>
      </c>
      <c r="O317" s="212" t="str">
        <f>IF(VEND[[#This Row],[STATUS]]="O.C",(VEND[[#This Row],[Fecha Recibe
O.C]]+VEND[[#This Row],[Dias
entrega ]]),"")</f>
        <v/>
      </c>
      <c r="P317" s="212"/>
      <c r="Q317" s="58" t="str">
        <f>IFERROR(VEND[[#This Row],[Fecha de Despacho]]-VEND[[#This Row],[Fecha Estimada de Entrega a  Cliente]],"")</f>
        <v/>
      </c>
      <c r="R3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7" s="112" t="str">
        <f>IF(VEND[[#This Row],[STATUS]]="O.C","APROBADO",IF(VEND[[#This Row],[STATUS]]="PERDIDO","PERDIDO",IF(VEND[[#This Row],[STATUS]]="EN ESPERA","EN ESPERA")))</f>
        <v>EN ESPERA</v>
      </c>
      <c r="T317" s="112" t="str">
        <f>IF(VEND[[#This Row],[STATUS]]="O.C","APROBADO",IF(VEND[[#This Row],[STATUS]]="PERDIDO","PERDIDO",IF(VEND[[#This Row],[STATUS]]="EN ESPERA","EN ESPERA")))</f>
        <v>EN ESPERA</v>
      </c>
      <c r="U317" s="112" t="s">
        <v>23</v>
      </c>
      <c r="V317" s="112" t="s">
        <v>23</v>
      </c>
      <c r="W317" s="112" t="s">
        <v>1402</v>
      </c>
      <c r="X317" s="112"/>
    </row>
    <row r="318" spans="2:24" ht="15.75" x14ac:dyDescent="0.25">
      <c r="B318" s="71">
        <v>44312</v>
      </c>
      <c r="C318" s="71" t="str">
        <f>TEXT(VEND[[#This Row],[Fecha de Envío
Cotización]],"mmmm")</f>
        <v>abril</v>
      </c>
      <c r="D318" s="66" t="s">
        <v>1163</v>
      </c>
      <c r="E318" s="92" t="s">
        <v>88</v>
      </c>
      <c r="F318" s="125" t="str">
        <f>IF(VEND[[#This Row],[STATUS]]="PERDIDO","N/A","En espera")</f>
        <v>En espera</v>
      </c>
      <c r="G318" s="125" t="str">
        <f>TEXT(VEND[[#This Row],[Fecha Recibe
O.C]],"mmmm")</f>
        <v>En espera</v>
      </c>
      <c r="H318" s="112">
        <v>4517</v>
      </c>
      <c r="I318" s="55" t="s">
        <v>1241</v>
      </c>
      <c r="J318" s="55"/>
      <c r="K318" s="58">
        <v>1</v>
      </c>
      <c r="L318" s="123">
        <v>1389.1200000000001</v>
      </c>
      <c r="M318" s="55"/>
      <c r="N318" s="112"/>
      <c r="O318" s="212" t="str">
        <f>IF(VEND[[#This Row],[STATUS]]="O.C",(VEND[[#This Row],[Fecha Recibe
O.C]]+VEND[[#This Row],[Dias
entrega ]]),"")</f>
        <v/>
      </c>
      <c r="P318" s="212"/>
      <c r="Q318" s="58" t="str">
        <f>IFERROR(VEND[[#This Row],[Fecha de Despacho]]-VEND[[#This Row],[Fecha Estimada de Entrega a  Cliente]],"")</f>
        <v/>
      </c>
      <c r="R3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8" s="55" t="str">
        <f>IF(VEND[[#This Row],[STATUS]]="O.C","APROBADO",IF(VEND[[#This Row],[STATUS]]="PERDIDO","PERDIDO",IF(VEND[[#This Row],[STATUS]]="EN ESPERA","EN ESPERA")))</f>
        <v>EN ESPERA</v>
      </c>
      <c r="T318" s="55" t="str">
        <f>IF(VEND[[#This Row],[STATUS]]="O.C","APROBADO",IF(VEND[[#This Row],[STATUS]]="PERDIDO","PERDIDO",IF(VEND[[#This Row],[STATUS]]="EN ESPERA","EN ESPERA")))</f>
        <v>EN ESPERA</v>
      </c>
      <c r="U318" s="112" t="s">
        <v>23</v>
      </c>
      <c r="V318" s="112" t="s">
        <v>23</v>
      </c>
      <c r="W318" s="112" t="s">
        <v>1409</v>
      </c>
      <c r="X318" s="55"/>
    </row>
    <row r="319" spans="2:24" s="105" customFormat="1" ht="15.75" x14ac:dyDescent="0.25">
      <c r="B319" s="71">
        <v>44312</v>
      </c>
      <c r="C319" s="71" t="str">
        <f>TEXT(VEND[[#This Row],[Fecha de Envío
Cotización]],"mmmm")</f>
        <v>abril</v>
      </c>
      <c r="D319" s="66" t="s">
        <v>1163</v>
      </c>
      <c r="E319" s="98" t="s">
        <v>88</v>
      </c>
      <c r="F319" s="125" t="str">
        <f>IF(VEND[[#This Row],[STATUS]]="PERDIDO","N/A","En espera")</f>
        <v>En espera</v>
      </c>
      <c r="G319" s="125" t="str">
        <f>TEXT(VEND[[#This Row],[Fecha Recibe
O.C]],"mmmm")</f>
        <v>En espera</v>
      </c>
      <c r="H319" s="112">
        <v>4519</v>
      </c>
      <c r="I319" s="112" t="s">
        <v>1241</v>
      </c>
      <c r="J319" s="112"/>
      <c r="K319" s="58">
        <v>4</v>
      </c>
      <c r="L319" s="123">
        <v>26240.6</v>
      </c>
      <c r="M319" s="112"/>
      <c r="N319" s="112"/>
      <c r="O319" s="212" t="str">
        <f>IF(VEND[[#This Row],[STATUS]]="O.C",(VEND[[#This Row],[Fecha Recibe
O.C]]+VEND[[#This Row],[Dias
entrega ]]),"")</f>
        <v/>
      </c>
      <c r="P319" s="212"/>
      <c r="Q319" s="58" t="str">
        <f>IFERROR(VEND[[#This Row],[Fecha de Despacho]]-VEND[[#This Row],[Fecha Estimada de Entrega a  Cliente]],"")</f>
        <v/>
      </c>
      <c r="R3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19" s="112" t="str">
        <f>IF(VEND[[#This Row],[STATUS]]="O.C","APROBADO",IF(VEND[[#This Row],[STATUS]]="PERDIDO","PERDIDO",IF(VEND[[#This Row],[STATUS]]="EN ESPERA","EN ESPERA")))</f>
        <v>EN ESPERA</v>
      </c>
      <c r="T319" s="112" t="str">
        <f>IF(VEND[[#This Row],[STATUS]]="O.C","APROBADO",IF(VEND[[#This Row],[STATUS]]="PERDIDO","PERDIDO",IF(VEND[[#This Row],[STATUS]]="EN ESPERA","EN ESPERA")))</f>
        <v>EN ESPERA</v>
      </c>
      <c r="U319" s="112" t="s">
        <v>23</v>
      </c>
      <c r="V319" s="112" t="s">
        <v>23</v>
      </c>
      <c r="W319" s="112" t="s">
        <v>1409</v>
      </c>
      <c r="X319" s="112"/>
    </row>
    <row r="320" spans="2:24" s="50" customFormat="1" ht="15.75" x14ac:dyDescent="0.25">
      <c r="B320" s="71">
        <v>44312</v>
      </c>
      <c r="C320" s="71" t="str">
        <f>TEXT(VEND[[#This Row],[Fecha de Envío
Cotización]],"mmmm")</f>
        <v>abril</v>
      </c>
      <c r="D320" s="66" t="s">
        <v>68</v>
      </c>
      <c r="E320" s="92" t="s">
        <v>42</v>
      </c>
      <c r="F320" s="92" t="str">
        <f>IF(VEND[[#This Row],[STATUS]]="PERDIDO","N/A","En espera")</f>
        <v>N/A</v>
      </c>
      <c r="G320" s="125" t="str">
        <f>TEXT(VEND[[#This Row],[Fecha Recibe
O.C]],"mmmm")</f>
        <v>N/A</v>
      </c>
      <c r="H320" s="112">
        <v>30666</v>
      </c>
      <c r="I320" s="112" t="s">
        <v>122</v>
      </c>
      <c r="J320" s="112"/>
      <c r="K320" s="58">
        <v>4</v>
      </c>
      <c r="L320" s="123">
        <v>548853.41</v>
      </c>
      <c r="M320" s="55" t="s">
        <v>22</v>
      </c>
      <c r="N320" s="112">
        <v>0</v>
      </c>
      <c r="O320" s="212" t="str">
        <f>IF(VEND[[#This Row],[STATUS]]="O.C",(VEND[[#This Row],[Fecha Recibe
O.C]]+VEND[[#This Row],[Dias
entrega ]]),"")</f>
        <v/>
      </c>
      <c r="P320" s="212"/>
      <c r="Q320" s="58" t="str">
        <f>IFERROR(VEND[[#This Row],[Fecha de Despacho]]-VEND[[#This Row],[Fecha Estimada de Entrega a  Cliente]],"")</f>
        <v/>
      </c>
      <c r="R3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0" s="55" t="str">
        <f>IF(VEND[[#This Row],[STATUS]]="O.C","APROBADO",IF(VEND[[#This Row],[STATUS]]="PERDIDO","PERDIDO",IF(VEND[[#This Row],[STATUS]]="EN ESPERA","EN ESPERA")))</f>
        <v>PERDIDO</v>
      </c>
      <c r="T320" s="55" t="str">
        <f>IF(VEND[[#This Row],[STATUS]]="O.C","APROBADO",IF(VEND[[#This Row],[STATUS]]="PERDIDO","PERDIDO",IF(VEND[[#This Row],[STATUS]]="EN ESPERA","EN ESPERA")))</f>
        <v>PERDIDO</v>
      </c>
      <c r="U320" s="55" t="s">
        <v>23</v>
      </c>
      <c r="V320" s="55" t="s">
        <v>23</v>
      </c>
      <c r="W320" s="55" t="s">
        <v>1402</v>
      </c>
      <c r="X320" s="55"/>
    </row>
    <row r="321" spans="2:24" ht="15.75" x14ac:dyDescent="0.25">
      <c r="B321" s="65">
        <v>44313</v>
      </c>
      <c r="C321" s="71" t="str">
        <f>TEXT(VEND[[#This Row],[Fecha de Envío
Cotización]],"mmmm")</f>
        <v>abril</v>
      </c>
      <c r="D321" s="66" t="s">
        <v>50</v>
      </c>
      <c r="E321" s="92" t="s">
        <v>83</v>
      </c>
      <c r="F321" s="125">
        <v>44327</v>
      </c>
      <c r="G321" s="125" t="str">
        <f>TEXT(VEND[[#This Row],[Fecha Recibe
O.C]],"mmmm")</f>
        <v>mayo</v>
      </c>
      <c r="H321" s="112">
        <v>1516</v>
      </c>
      <c r="I321" s="55" t="s">
        <v>33</v>
      </c>
      <c r="J321" s="88"/>
      <c r="K321" s="58">
        <v>1</v>
      </c>
      <c r="L321" s="123">
        <v>882.07</v>
      </c>
      <c r="M321" s="55" t="s">
        <v>22</v>
      </c>
      <c r="N321" s="112">
        <v>0</v>
      </c>
      <c r="O321" s="212">
        <f>IF(VEND[[#This Row],[STATUS]]="O.C",(VEND[[#This Row],[Fecha Recibe
O.C]]+VEND[[#This Row],[Dias
entrega ]]),"")</f>
        <v>44327</v>
      </c>
      <c r="P321" s="212">
        <v>44327</v>
      </c>
      <c r="Q321" s="58">
        <f>IFERROR(VEND[[#This Row],[Fecha de Despacho]]-VEND[[#This Row],[Fecha Estimada de Entrega a  Cliente]],"")</f>
        <v>0</v>
      </c>
      <c r="R3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1" s="55" t="str">
        <f>IF(VEND[[#This Row],[STATUS]]="O.C","APROBADO",IF(VEND[[#This Row],[STATUS]]="PERDIDO","PERDIDO",IF(VEND[[#This Row],[STATUS]]="EN ESPERA","EN ESPERA")))</f>
        <v>APROBADO</v>
      </c>
      <c r="T321" s="55" t="str">
        <f>IF(VEND[[#This Row],[STATUS]]="O.C","APROBADO",IF(VEND[[#This Row],[STATUS]]="PERDIDO","PERDIDO",IF(VEND[[#This Row],[STATUS]]="EN ESPERA","EN ESPERA")))</f>
        <v>APROBADO</v>
      </c>
      <c r="U321" s="55" t="s">
        <v>45</v>
      </c>
      <c r="V321" s="55" t="s">
        <v>47</v>
      </c>
      <c r="W321" s="55" t="s">
        <v>1402</v>
      </c>
      <c r="X321" s="55"/>
    </row>
    <row r="322" spans="2:24" ht="15.75" x14ac:dyDescent="0.25">
      <c r="B322" s="65">
        <v>44313</v>
      </c>
      <c r="C322" s="71" t="str">
        <f>TEXT(VEND[[#This Row],[Fecha de Envío
Cotización]],"mmmm")</f>
        <v>abril</v>
      </c>
      <c r="D322" s="66" t="s">
        <v>50</v>
      </c>
      <c r="E322" s="92" t="s">
        <v>42</v>
      </c>
      <c r="F322" s="92" t="str">
        <f>IF(VEND[[#This Row],[STATUS]]="PERDIDO","N/A","En espera")</f>
        <v>N/A</v>
      </c>
      <c r="G322" s="125" t="str">
        <f>TEXT(VEND[[#This Row],[Fecha Recibe
O.C]],"mmmm")</f>
        <v>N/A</v>
      </c>
      <c r="H322" s="112">
        <v>1518</v>
      </c>
      <c r="I322" s="55" t="s">
        <v>125</v>
      </c>
      <c r="J322" s="112"/>
      <c r="K322" s="58">
        <v>2</v>
      </c>
      <c r="L322" s="123">
        <v>2945.54</v>
      </c>
      <c r="M322" s="55" t="s">
        <v>51</v>
      </c>
      <c r="N322" s="112">
        <v>21</v>
      </c>
      <c r="O322" s="212" t="str">
        <f>IF(VEND[[#This Row],[STATUS]]="O.C",(VEND[[#This Row],[Fecha Recibe
O.C]]+VEND[[#This Row],[Dias
entrega ]]),"")</f>
        <v/>
      </c>
      <c r="P322" s="212"/>
      <c r="Q322" s="58" t="str">
        <f>IFERROR(VEND[[#This Row],[Fecha de Despacho]]-VEND[[#This Row],[Fecha Estimada de Entrega a  Cliente]],"")</f>
        <v/>
      </c>
      <c r="R3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2" s="112" t="str">
        <f>IF(VEND[[#This Row],[STATUS]]="O.C","APROBADO",IF(VEND[[#This Row],[STATUS]]="PERDIDO","PERDIDO",IF(VEND[[#This Row],[STATUS]]="EN ESPERA","EN ESPERA")))</f>
        <v>PERDIDO</v>
      </c>
      <c r="T322" s="112" t="str">
        <f>IF(VEND[[#This Row],[STATUS]]="O.C","APROBADO",IF(VEND[[#This Row],[STATUS]]="PERDIDO","PERDIDO",IF(VEND[[#This Row],[STATUS]]="EN ESPERA","EN ESPERA")))</f>
        <v>PERDIDO</v>
      </c>
      <c r="U322" s="55" t="s">
        <v>23</v>
      </c>
      <c r="V322" s="55" t="s">
        <v>23</v>
      </c>
      <c r="W322" s="55" t="s">
        <v>1401</v>
      </c>
      <c r="X322" s="112"/>
    </row>
    <row r="323" spans="2:24" ht="15.75" x14ac:dyDescent="0.25">
      <c r="B323" s="65">
        <v>44313</v>
      </c>
      <c r="C323" s="71" t="str">
        <f>TEXT(VEND[[#This Row],[Fecha de Envío
Cotización]],"mmmm")</f>
        <v>abril</v>
      </c>
      <c r="D323" s="66" t="s">
        <v>50</v>
      </c>
      <c r="E323" s="92" t="s">
        <v>42</v>
      </c>
      <c r="F323" s="125" t="str">
        <f>IF(VEND[[#This Row],[STATUS]]="PERDIDO","N/A","En espera")</f>
        <v>N/A</v>
      </c>
      <c r="G323" s="125" t="str">
        <f>TEXT(VEND[[#This Row],[Fecha Recibe
O.C]],"mmmm")</f>
        <v>N/A</v>
      </c>
      <c r="H323" s="112">
        <v>1519</v>
      </c>
      <c r="I323" s="55" t="s">
        <v>125</v>
      </c>
      <c r="J323" s="55"/>
      <c r="K323" s="58">
        <v>1</v>
      </c>
      <c r="L323" s="123">
        <v>141.75</v>
      </c>
      <c r="M323" s="55" t="s">
        <v>134</v>
      </c>
      <c r="N323" s="112">
        <v>28</v>
      </c>
      <c r="O323" s="212" t="str">
        <f>IF(VEND[[#This Row],[STATUS]]="O.C",(VEND[[#This Row],[Fecha Recibe
O.C]]+VEND[[#This Row],[Dias
entrega ]]),"")</f>
        <v/>
      </c>
      <c r="P323" s="212"/>
      <c r="Q323" s="58" t="str">
        <f>IFERROR(VEND[[#This Row],[Fecha de Despacho]]-VEND[[#This Row],[Fecha Estimada de Entrega a  Cliente]],"")</f>
        <v/>
      </c>
      <c r="R3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3" s="55" t="str">
        <f>IF(VEND[[#This Row],[STATUS]]="O.C","APROBADO",IF(VEND[[#This Row],[STATUS]]="PERDIDO","PERDIDO",IF(VEND[[#This Row],[STATUS]]="EN ESPERA","EN ESPERA")))</f>
        <v>PERDIDO</v>
      </c>
      <c r="T323" s="55" t="str">
        <f>IF(VEND[[#This Row],[STATUS]]="O.C","APROBADO",IF(VEND[[#This Row],[STATUS]]="PERDIDO","PERDIDO",IF(VEND[[#This Row],[STATUS]]="EN ESPERA","EN ESPERA")))</f>
        <v>PERDIDO</v>
      </c>
      <c r="U323" s="55" t="s">
        <v>23</v>
      </c>
      <c r="V323" s="55" t="s">
        <v>23</v>
      </c>
      <c r="W323" s="55" t="s">
        <v>1401</v>
      </c>
      <c r="X323" s="55"/>
    </row>
    <row r="324" spans="2:24" ht="15.75" x14ac:dyDescent="0.25">
      <c r="B324" s="65">
        <v>44313</v>
      </c>
      <c r="C324" s="71" t="str">
        <f>TEXT(VEND[[#This Row],[Fecha de Envío
Cotización]],"mmmm")</f>
        <v>abril</v>
      </c>
      <c r="D324" s="66" t="s">
        <v>50</v>
      </c>
      <c r="E324" s="92" t="s">
        <v>42</v>
      </c>
      <c r="F324" s="125" t="str">
        <f>IF(VEND[[#This Row],[STATUS]]="PERDIDO","N/A","En espera")</f>
        <v>N/A</v>
      </c>
      <c r="G324" s="125" t="str">
        <f>TEXT(VEND[[#This Row],[Fecha Recibe
O.C]],"mmmm")</f>
        <v>N/A</v>
      </c>
      <c r="H324" s="112">
        <v>1520</v>
      </c>
      <c r="I324" s="55" t="s">
        <v>90</v>
      </c>
      <c r="J324" s="55"/>
      <c r="K324" s="58">
        <v>1</v>
      </c>
      <c r="L324" s="123">
        <v>2070.84</v>
      </c>
      <c r="M324" s="55" t="s">
        <v>419</v>
      </c>
      <c r="N324" s="112">
        <v>35</v>
      </c>
      <c r="O324" s="212" t="str">
        <f>IF(VEND[[#This Row],[STATUS]]="O.C",(VEND[[#This Row],[Fecha Recibe
O.C]]+VEND[[#This Row],[Dias
entrega ]]),"")</f>
        <v/>
      </c>
      <c r="P324" s="212"/>
      <c r="Q324" s="58" t="str">
        <f>IFERROR(VEND[[#This Row],[Fecha de Despacho]]-VEND[[#This Row],[Fecha Estimada de Entrega a  Cliente]],"")</f>
        <v/>
      </c>
      <c r="R3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4" s="55" t="str">
        <f>IF(VEND[[#This Row],[STATUS]]="O.C","APROBADO",IF(VEND[[#This Row],[STATUS]]="PERDIDO","PERDIDO",IF(VEND[[#This Row],[STATUS]]="EN ESPERA","EN ESPERA")))</f>
        <v>PERDIDO</v>
      </c>
      <c r="T324" s="55" t="str">
        <f>IF(VEND[[#This Row],[STATUS]]="O.C","APROBADO",IF(VEND[[#This Row],[STATUS]]="PERDIDO","PERDIDO",IF(VEND[[#This Row],[STATUS]]="EN ESPERA","EN ESPERA")))</f>
        <v>PERDIDO</v>
      </c>
      <c r="U324" s="55" t="s">
        <v>23</v>
      </c>
      <c r="V324" s="55" t="s">
        <v>23</v>
      </c>
      <c r="W324" s="112" t="s">
        <v>1403</v>
      </c>
      <c r="X324" s="55"/>
    </row>
    <row r="325" spans="2:24" ht="15.75" x14ac:dyDescent="0.25">
      <c r="B325" s="65">
        <v>44313</v>
      </c>
      <c r="C325" s="71" t="str">
        <f>TEXT(VEND[[#This Row],[Fecha de Envío
Cotización]],"mmmm")</f>
        <v>abril</v>
      </c>
      <c r="D325" s="66" t="s">
        <v>50</v>
      </c>
      <c r="E325" s="92" t="s">
        <v>42</v>
      </c>
      <c r="F325" s="125" t="str">
        <f>IF(VEND[[#This Row],[STATUS]]="PERDIDO","N/A","En espera")</f>
        <v>N/A</v>
      </c>
      <c r="G325" s="125" t="str">
        <f>TEXT(VEND[[#This Row],[Fecha Recibe
O.C]],"mmmm")</f>
        <v>N/A</v>
      </c>
      <c r="H325" s="112">
        <v>1521</v>
      </c>
      <c r="I325" s="55" t="s">
        <v>90</v>
      </c>
      <c r="J325" s="55"/>
      <c r="K325" s="58">
        <v>1</v>
      </c>
      <c r="L325" s="123">
        <v>221.9</v>
      </c>
      <c r="M325" s="55" t="s">
        <v>419</v>
      </c>
      <c r="N325" s="112">
        <v>35</v>
      </c>
      <c r="O325" s="212" t="str">
        <f>IF(VEND[[#This Row],[STATUS]]="O.C",(VEND[[#This Row],[Fecha Recibe
O.C]]+VEND[[#This Row],[Dias
entrega ]]),"")</f>
        <v/>
      </c>
      <c r="P325" s="212"/>
      <c r="Q325" s="58" t="str">
        <f>IFERROR(VEND[[#This Row],[Fecha de Despacho]]-VEND[[#This Row],[Fecha Estimada de Entrega a  Cliente]],"")</f>
        <v/>
      </c>
      <c r="R3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5" s="55" t="str">
        <f>IF(VEND[[#This Row],[STATUS]]="O.C","APROBADO",IF(VEND[[#This Row],[STATUS]]="PERDIDO","PERDIDO",IF(VEND[[#This Row],[STATUS]]="EN ESPERA","EN ESPERA")))</f>
        <v>PERDIDO</v>
      </c>
      <c r="T325" s="55" t="str">
        <f>IF(VEND[[#This Row],[STATUS]]="O.C","APROBADO",IF(VEND[[#This Row],[STATUS]]="PERDIDO","PERDIDO",IF(VEND[[#This Row],[STATUS]]="EN ESPERA","EN ESPERA")))</f>
        <v>PERDIDO</v>
      </c>
      <c r="U325" s="55" t="s">
        <v>23</v>
      </c>
      <c r="V325" s="55" t="s">
        <v>23</v>
      </c>
      <c r="W325" s="112" t="s">
        <v>1403</v>
      </c>
      <c r="X325" s="112"/>
    </row>
    <row r="326" spans="2:24" ht="15.75" x14ac:dyDescent="0.25">
      <c r="B326" s="71">
        <v>44313</v>
      </c>
      <c r="C326" s="71" t="str">
        <f>TEXT(VEND[[#This Row],[Fecha de Envío
Cotización]],"mmmm")</f>
        <v>abril</v>
      </c>
      <c r="D326" s="66" t="s">
        <v>50</v>
      </c>
      <c r="E326" s="125" t="s">
        <v>42</v>
      </c>
      <c r="F326" s="125" t="str">
        <f>IF(VEND[[#This Row],[STATUS]]="PERDIDO","N/A","En espera")</f>
        <v>N/A</v>
      </c>
      <c r="G326" s="125" t="str">
        <f>TEXT(VEND[[#This Row],[Fecha Recibe
O.C]],"mmmm")</f>
        <v>N/A</v>
      </c>
      <c r="H326" s="112">
        <v>1522</v>
      </c>
      <c r="I326" s="55" t="s">
        <v>90</v>
      </c>
      <c r="J326" s="112"/>
      <c r="K326" s="58">
        <v>3</v>
      </c>
      <c r="L326" s="123">
        <v>2998.28</v>
      </c>
      <c r="M326" s="55" t="s">
        <v>419</v>
      </c>
      <c r="N326" s="112">
        <v>35</v>
      </c>
      <c r="O326" s="212" t="str">
        <f>IF(VEND[[#This Row],[STATUS]]="O.C",(VEND[[#This Row],[Fecha Recibe
O.C]]+VEND[[#This Row],[Dias
entrega ]]),"")</f>
        <v/>
      </c>
      <c r="P326" s="212"/>
      <c r="Q326" s="58" t="str">
        <f>IFERROR(VEND[[#This Row],[Fecha de Despacho]]-VEND[[#This Row],[Fecha Estimada de Entrega a  Cliente]],"")</f>
        <v/>
      </c>
      <c r="R3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6" s="112" t="str">
        <f>IF(VEND[[#This Row],[STATUS]]="O.C","APROBADO",IF(VEND[[#This Row],[STATUS]]="PERDIDO","PERDIDO",IF(VEND[[#This Row],[STATUS]]="EN ESPERA","EN ESPERA")))</f>
        <v>PERDIDO</v>
      </c>
      <c r="T326" s="112" t="str">
        <f>IF(VEND[[#This Row],[STATUS]]="O.C","APROBADO",IF(VEND[[#This Row],[STATUS]]="PERDIDO","PERDIDO",IF(VEND[[#This Row],[STATUS]]="EN ESPERA","EN ESPERA")))</f>
        <v>PERDIDO</v>
      </c>
      <c r="U326" s="55" t="s">
        <v>23</v>
      </c>
      <c r="V326" s="55" t="s">
        <v>23</v>
      </c>
      <c r="W326" s="112" t="s">
        <v>1403</v>
      </c>
      <c r="X326" s="112"/>
    </row>
    <row r="327" spans="2:24" ht="15.75" x14ac:dyDescent="0.25">
      <c r="B327" s="71">
        <v>44313</v>
      </c>
      <c r="C327" s="71" t="str">
        <f>TEXT(VEND[[#This Row],[Fecha de Envío
Cotización]],"mmmm")</f>
        <v>abril</v>
      </c>
      <c r="D327" s="66" t="s">
        <v>50</v>
      </c>
      <c r="E327" s="125" t="s">
        <v>42</v>
      </c>
      <c r="F327" s="125" t="str">
        <f>IF(VEND[[#This Row],[STATUS]]="PERDIDO","N/A","En espera")</f>
        <v>N/A</v>
      </c>
      <c r="G327" s="125" t="str">
        <f>TEXT(VEND[[#This Row],[Fecha Recibe
O.C]],"mmmm")</f>
        <v>N/A</v>
      </c>
      <c r="H327" s="112">
        <v>1523</v>
      </c>
      <c r="I327" s="55" t="s">
        <v>33</v>
      </c>
      <c r="J327" s="112"/>
      <c r="K327" s="58">
        <v>1</v>
      </c>
      <c r="L327" s="123">
        <v>363.61</v>
      </c>
      <c r="M327" s="112" t="s">
        <v>51</v>
      </c>
      <c r="N327" s="112">
        <v>21</v>
      </c>
      <c r="O327" s="212" t="str">
        <f>IF(VEND[[#This Row],[STATUS]]="O.C",(VEND[[#This Row],[Fecha Recibe
O.C]]+VEND[[#This Row],[Dias
entrega ]]),"")</f>
        <v/>
      </c>
      <c r="P327" s="212"/>
      <c r="Q327" s="58" t="str">
        <f>IFERROR(VEND[[#This Row],[Fecha de Despacho]]-VEND[[#This Row],[Fecha Estimada de Entrega a  Cliente]],"")</f>
        <v/>
      </c>
      <c r="R3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7" s="112" t="str">
        <f>IF(VEND[[#This Row],[STATUS]]="O.C","APROBADO",IF(VEND[[#This Row],[STATUS]]="PERDIDO","PERDIDO",IF(VEND[[#This Row],[STATUS]]="EN ESPERA","EN ESPERA")))</f>
        <v>PERDIDO</v>
      </c>
      <c r="T327" s="112" t="str">
        <f>IF(VEND[[#This Row],[STATUS]]="O.C","APROBADO",IF(VEND[[#This Row],[STATUS]]="PERDIDO","PERDIDO",IF(VEND[[#This Row],[STATUS]]="EN ESPERA","EN ESPERA")))</f>
        <v>PERDIDO</v>
      </c>
      <c r="U327" s="55" t="s">
        <v>23</v>
      </c>
      <c r="V327" s="55" t="s">
        <v>23</v>
      </c>
      <c r="W327" s="112" t="s">
        <v>1402</v>
      </c>
      <c r="X327" s="112"/>
    </row>
    <row r="328" spans="2:24" ht="15.75" x14ac:dyDescent="0.25">
      <c r="B328" s="71">
        <v>44313</v>
      </c>
      <c r="C328" s="71" t="str">
        <f>TEXT(VEND[[#This Row],[Fecha de Envío
Cotización]],"mmmm")</f>
        <v>abril</v>
      </c>
      <c r="D328" s="66" t="s">
        <v>68</v>
      </c>
      <c r="E328" s="125" t="s">
        <v>42</v>
      </c>
      <c r="F328" s="125" t="str">
        <f>IF(VEND[[#This Row],[STATUS]]="PERDIDO","N/A","En espera")</f>
        <v>N/A</v>
      </c>
      <c r="G328" s="125" t="str">
        <f>TEXT(VEND[[#This Row],[Fecha Recibe
O.C]],"mmmm")</f>
        <v>N/A</v>
      </c>
      <c r="H328" s="112">
        <v>2611</v>
      </c>
      <c r="I328" s="55" t="s">
        <v>138</v>
      </c>
      <c r="J328" s="112"/>
      <c r="K328" s="58">
        <v>6</v>
      </c>
      <c r="L328" s="123">
        <v>2458.6</v>
      </c>
      <c r="M328" s="112" t="s">
        <v>16</v>
      </c>
      <c r="N328" s="112">
        <v>21</v>
      </c>
      <c r="O328" s="212" t="str">
        <f>IF(VEND[[#This Row],[STATUS]]="O.C",(VEND[[#This Row],[Fecha Recibe
O.C]]+VEND[[#This Row],[Dias
entrega ]]),"")</f>
        <v/>
      </c>
      <c r="P328" s="212"/>
      <c r="Q328" s="58" t="str">
        <f>IFERROR(VEND[[#This Row],[Fecha de Despacho]]-VEND[[#This Row],[Fecha Estimada de Entrega a  Cliente]],"")</f>
        <v/>
      </c>
      <c r="R3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8" s="112" t="str">
        <f>IF(VEND[[#This Row],[STATUS]]="O.C","APROBADO",IF(VEND[[#This Row],[STATUS]]="PERDIDO","PERDIDO",IF(VEND[[#This Row],[STATUS]]="EN ESPERA","EN ESPERA")))</f>
        <v>PERDIDO</v>
      </c>
      <c r="T328" s="112" t="str">
        <f>IF(VEND[[#This Row],[STATUS]]="O.C","APROBADO",IF(VEND[[#This Row],[STATUS]]="PERDIDO","PERDIDO",IF(VEND[[#This Row],[STATUS]]="EN ESPERA","EN ESPERA")))</f>
        <v>PERDIDO</v>
      </c>
      <c r="U328" s="55" t="s">
        <v>23</v>
      </c>
      <c r="V328" s="55" t="s">
        <v>23</v>
      </c>
      <c r="W328" s="55" t="s">
        <v>1402</v>
      </c>
      <c r="X328" s="112"/>
    </row>
    <row r="329" spans="2:24" ht="15.75" x14ac:dyDescent="0.25">
      <c r="B329" s="71">
        <v>44313</v>
      </c>
      <c r="C329" s="71" t="str">
        <f>TEXT(VEND[[#This Row],[Fecha de Envío
Cotización]],"mmmm")</f>
        <v>abril</v>
      </c>
      <c r="D329" s="66" t="s">
        <v>41</v>
      </c>
      <c r="E329" s="125" t="s">
        <v>42</v>
      </c>
      <c r="F329" s="125" t="str">
        <f>IF(VEND[[#This Row],[STATUS]]="PERDIDO","N/A","En espera")</f>
        <v>N/A</v>
      </c>
      <c r="G329" s="125" t="str">
        <f>TEXT(VEND[[#This Row],[Fecha Recibe
O.C]],"mmmm")</f>
        <v>N/A</v>
      </c>
      <c r="H329" s="112">
        <v>3507</v>
      </c>
      <c r="I329" s="55" t="s">
        <v>76</v>
      </c>
      <c r="J329" s="112"/>
      <c r="K329" s="58">
        <v>1</v>
      </c>
      <c r="L329" s="123">
        <v>88.41</v>
      </c>
      <c r="M329" s="55" t="s">
        <v>73</v>
      </c>
      <c r="N329" s="112">
        <v>14</v>
      </c>
      <c r="O329" s="212" t="str">
        <f>IF(VEND[[#This Row],[STATUS]]="O.C",(VEND[[#This Row],[Fecha Recibe
O.C]]+VEND[[#This Row],[Dias
entrega ]]),"")</f>
        <v/>
      </c>
      <c r="P329" s="212"/>
      <c r="Q329" s="58" t="str">
        <f>IFERROR(VEND[[#This Row],[Fecha de Despacho]]-VEND[[#This Row],[Fecha Estimada de Entrega a  Cliente]],"")</f>
        <v/>
      </c>
      <c r="R3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29" s="112" t="str">
        <f>IF(VEND[[#This Row],[STATUS]]="O.C","APROBADO",IF(VEND[[#This Row],[STATUS]]="PERDIDO","PERDIDO",IF(VEND[[#This Row],[STATUS]]="EN ESPERA","EN ESPERA")))</f>
        <v>PERDIDO</v>
      </c>
      <c r="T329" s="112" t="str">
        <f>IF(VEND[[#This Row],[STATUS]]="O.C","APROBADO",IF(VEND[[#This Row],[STATUS]]="PERDIDO","PERDIDO",IF(VEND[[#This Row],[STATUS]]="EN ESPERA","EN ESPERA")))</f>
        <v>PERDIDO</v>
      </c>
      <c r="U329" s="55" t="s">
        <v>23</v>
      </c>
      <c r="V329" s="55" t="s">
        <v>23</v>
      </c>
      <c r="W329" s="55" t="s">
        <v>1402</v>
      </c>
      <c r="X329" s="112"/>
    </row>
    <row r="330" spans="2:24" ht="15.75" x14ac:dyDescent="0.25">
      <c r="B330" s="71">
        <v>44313</v>
      </c>
      <c r="C330" s="71" t="str">
        <f>TEXT(VEND[[#This Row],[Fecha de Envío
Cotización]],"mmmm")</f>
        <v>abril</v>
      </c>
      <c r="D330" s="66" t="s">
        <v>1163</v>
      </c>
      <c r="E330" s="125" t="s">
        <v>88</v>
      </c>
      <c r="F330" s="125" t="str">
        <f>IF(VEND[[#This Row],[STATUS]]="PERDIDO","N/A","En espera")</f>
        <v>En espera</v>
      </c>
      <c r="G330" s="125" t="str">
        <f>TEXT(VEND[[#This Row],[Fecha Recibe
O.C]],"mmmm")</f>
        <v>En espera</v>
      </c>
      <c r="H330" s="112">
        <v>4521</v>
      </c>
      <c r="I330" s="55" t="s">
        <v>1241</v>
      </c>
      <c r="J330" s="55"/>
      <c r="K330" s="58">
        <v>3</v>
      </c>
      <c r="L330" s="123">
        <v>13665.92</v>
      </c>
      <c r="M330" s="112"/>
      <c r="N330" s="112"/>
      <c r="O330" s="212" t="str">
        <f>IF(VEND[[#This Row],[STATUS]]="O.C",(VEND[[#This Row],[Fecha Recibe
O.C]]+VEND[[#This Row],[Dias
entrega ]]),"")</f>
        <v/>
      </c>
      <c r="P330" s="212"/>
      <c r="Q330" s="58" t="str">
        <f>IFERROR(VEND[[#This Row],[Fecha de Despacho]]-VEND[[#This Row],[Fecha Estimada de Entrega a  Cliente]],"")</f>
        <v/>
      </c>
      <c r="R3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0" s="55" t="str">
        <f>IF(VEND[[#This Row],[STATUS]]="O.C","APROBADO",IF(VEND[[#This Row],[STATUS]]="PERDIDO","PERDIDO",IF(VEND[[#This Row],[STATUS]]="EN ESPERA","EN ESPERA")))</f>
        <v>EN ESPERA</v>
      </c>
      <c r="T330" s="55" t="str">
        <f>IF(VEND[[#This Row],[STATUS]]="O.C","APROBADO",IF(VEND[[#This Row],[STATUS]]="PERDIDO","PERDIDO",IF(VEND[[#This Row],[STATUS]]="EN ESPERA","EN ESPERA")))</f>
        <v>EN ESPERA</v>
      </c>
      <c r="U330" s="55" t="s">
        <v>23</v>
      </c>
      <c r="V330" s="55" t="s">
        <v>23</v>
      </c>
      <c r="W330" s="112" t="s">
        <v>1409</v>
      </c>
      <c r="X330" s="112"/>
    </row>
    <row r="331" spans="2:24" ht="15.75" x14ac:dyDescent="0.25">
      <c r="B331" s="71">
        <v>44314</v>
      </c>
      <c r="C331" s="71" t="str">
        <f>TEXT(VEND[[#This Row],[Fecha de Envío
Cotización]],"mmmm")</f>
        <v>abril</v>
      </c>
      <c r="D331" s="66" t="s">
        <v>50</v>
      </c>
      <c r="E331" s="125" t="s">
        <v>42</v>
      </c>
      <c r="F331" s="125" t="str">
        <f>IF(VEND[[#This Row],[STATUS]]="PERDIDO","N/A","En espera")</f>
        <v>N/A</v>
      </c>
      <c r="G331" s="125" t="str">
        <f>TEXT(VEND[[#This Row],[Fecha Recibe
O.C]],"mmmm")</f>
        <v>N/A</v>
      </c>
      <c r="H331" s="112">
        <v>1524</v>
      </c>
      <c r="I331" s="55" t="s">
        <v>33</v>
      </c>
      <c r="J331" s="112"/>
      <c r="K331" s="58">
        <v>1</v>
      </c>
      <c r="L331" s="123">
        <v>5602.3</v>
      </c>
      <c r="M331" s="112" t="s">
        <v>419</v>
      </c>
      <c r="N331" s="112">
        <v>35</v>
      </c>
      <c r="O331" s="212" t="str">
        <f>IF(VEND[[#This Row],[STATUS]]="O.C",(VEND[[#This Row],[Fecha Recibe
O.C]]+VEND[[#This Row],[Dias
entrega ]]),"")</f>
        <v/>
      </c>
      <c r="P331" s="212"/>
      <c r="Q331" s="58" t="str">
        <f>IFERROR(VEND[[#This Row],[Fecha de Despacho]]-VEND[[#This Row],[Fecha Estimada de Entrega a  Cliente]],"")</f>
        <v/>
      </c>
      <c r="R3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1" s="112" t="str">
        <f>IF(VEND[[#This Row],[STATUS]]="O.C","APROBADO",IF(VEND[[#This Row],[STATUS]]="PERDIDO","PERDIDO",IF(VEND[[#This Row],[STATUS]]="EN ESPERA","EN ESPERA")))</f>
        <v>PERDIDO</v>
      </c>
      <c r="T331" s="112" t="str">
        <f>IF(VEND[[#This Row],[STATUS]]="O.C","APROBADO",IF(VEND[[#This Row],[STATUS]]="PERDIDO","PERDIDO",IF(VEND[[#This Row],[STATUS]]="EN ESPERA","EN ESPERA")))</f>
        <v>PERDIDO</v>
      </c>
      <c r="U331" s="55" t="s">
        <v>23</v>
      </c>
      <c r="V331" s="55" t="s">
        <v>23</v>
      </c>
      <c r="W331" s="55" t="s">
        <v>1402</v>
      </c>
      <c r="X331" s="112"/>
    </row>
    <row r="332" spans="2:24" ht="15.75" x14ac:dyDescent="0.25">
      <c r="B332" s="71">
        <v>44314</v>
      </c>
      <c r="C332" s="71" t="str">
        <f>TEXT(VEND[[#This Row],[Fecha de Envío
Cotización]],"mmmm")</f>
        <v>abril</v>
      </c>
      <c r="D332" s="66" t="s">
        <v>68</v>
      </c>
      <c r="E332" s="125" t="s">
        <v>88</v>
      </c>
      <c r="F332" s="125" t="str">
        <f>IF(VEND[[#This Row],[STATUS]]="PERDIDO","N/A","En espera")</f>
        <v>En espera</v>
      </c>
      <c r="G332" s="125" t="str">
        <f>TEXT(VEND[[#This Row],[Fecha Recibe
O.C]],"mmmm")</f>
        <v>En espera</v>
      </c>
      <c r="H332" s="112">
        <v>2613</v>
      </c>
      <c r="I332" s="112" t="s">
        <v>96</v>
      </c>
      <c r="J332" s="112"/>
      <c r="K332" s="58">
        <v>5</v>
      </c>
      <c r="L332" s="123">
        <v>12536.03</v>
      </c>
      <c r="M332" s="112" t="s">
        <v>1076</v>
      </c>
      <c r="N332" s="112">
        <v>150</v>
      </c>
      <c r="O332" s="212" t="str">
        <f>IF(VEND[[#This Row],[STATUS]]="O.C",(VEND[[#This Row],[Fecha Recibe
O.C]]+VEND[[#This Row],[Dias
entrega ]]),"")</f>
        <v/>
      </c>
      <c r="P332" s="212"/>
      <c r="Q332" s="58" t="str">
        <f>IFERROR(VEND[[#This Row],[Fecha de Despacho]]-VEND[[#This Row],[Fecha Estimada de Entrega a  Cliente]],"")</f>
        <v/>
      </c>
      <c r="R3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2" s="112" t="str">
        <f>IF(VEND[[#This Row],[STATUS]]="O.C","APROBADO",IF(VEND[[#This Row],[STATUS]]="PERDIDO","PERDIDO",IF(VEND[[#This Row],[STATUS]]="EN ESPERA","EN ESPERA")))</f>
        <v>EN ESPERA</v>
      </c>
      <c r="T332" s="112" t="str">
        <f>IF(VEND[[#This Row],[STATUS]]="O.C","APROBADO",IF(VEND[[#This Row],[STATUS]]="PERDIDO","PERDIDO",IF(VEND[[#This Row],[STATUS]]="EN ESPERA","EN ESPERA")))</f>
        <v>EN ESPERA</v>
      </c>
      <c r="U332" s="55" t="s">
        <v>23</v>
      </c>
      <c r="V332" s="55" t="s">
        <v>23</v>
      </c>
      <c r="W332" s="55" t="s">
        <v>1402</v>
      </c>
      <c r="X332" s="112"/>
    </row>
    <row r="333" spans="2:24" ht="15.75" x14ac:dyDescent="0.25">
      <c r="B333" s="71">
        <v>44314</v>
      </c>
      <c r="C333" s="71" t="str">
        <f>TEXT(VEND[[#This Row],[Fecha de Envío
Cotización]],"mmmm")</f>
        <v>abril</v>
      </c>
      <c r="D333" s="66" t="s">
        <v>68</v>
      </c>
      <c r="E333" s="125" t="s">
        <v>88</v>
      </c>
      <c r="F333" s="125" t="str">
        <f>IF(VEND[[#This Row],[STATUS]]="PERDIDO","N/A","En espera")</f>
        <v>En espera</v>
      </c>
      <c r="G333" s="125" t="str">
        <f>TEXT(VEND[[#This Row],[Fecha Recibe
O.C]],"mmmm")</f>
        <v>En espera</v>
      </c>
      <c r="H333" s="112">
        <v>2614</v>
      </c>
      <c r="I333" s="55" t="s">
        <v>96</v>
      </c>
      <c r="J333" s="112"/>
      <c r="K333" s="58">
        <v>2</v>
      </c>
      <c r="L333" s="123">
        <v>15866.15</v>
      </c>
      <c r="M333" s="112" t="s">
        <v>980</v>
      </c>
      <c r="N333" s="112">
        <v>28</v>
      </c>
      <c r="O333" s="212" t="str">
        <f>IF(VEND[[#This Row],[STATUS]]="O.C",(VEND[[#This Row],[Fecha Recibe
O.C]]+VEND[[#This Row],[Dias
entrega ]]),"")</f>
        <v/>
      </c>
      <c r="P333" s="212"/>
      <c r="Q333" s="58" t="str">
        <f>IFERROR(VEND[[#This Row],[Fecha de Despacho]]-VEND[[#This Row],[Fecha Estimada de Entrega a  Cliente]],"")</f>
        <v/>
      </c>
      <c r="R3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3" s="112" t="str">
        <f>IF(VEND[[#This Row],[STATUS]]="O.C","APROBADO",IF(VEND[[#This Row],[STATUS]]="PERDIDO","PERDIDO",IF(VEND[[#This Row],[STATUS]]="EN ESPERA","EN ESPERA")))</f>
        <v>EN ESPERA</v>
      </c>
      <c r="T333" s="112" t="str">
        <f>IF(VEND[[#This Row],[STATUS]]="O.C","APROBADO",IF(VEND[[#This Row],[STATUS]]="PERDIDO","PERDIDO",IF(VEND[[#This Row],[STATUS]]="EN ESPERA","EN ESPERA")))</f>
        <v>EN ESPERA</v>
      </c>
      <c r="U333" s="55" t="s">
        <v>23</v>
      </c>
      <c r="V333" s="55" t="s">
        <v>23</v>
      </c>
      <c r="W333" s="55" t="s">
        <v>1402</v>
      </c>
      <c r="X333" s="112"/>
    </row>
    <row r="334" spans="2:24" s="16" customFormat="1" ht="15.75" x14ac:dyDescent="0.25">
      <c r="B334" s="71">
        <v>44314</v>
      </c>
      <c r="C334" s="71" t="str">
        <f>TEXT(VEND[[#This Row],[Fecha de Envío
Cotización]],"mmmm")</f>
        <v>abril</v>
      </c>
      <c r="D334" s="66" t="s">
        <v>1163</v>
      </c>
      <c r="E334" s="125" t="s">
        <v>88</v>
      </c>
      <c r="F334" s="125" t="str">
        <f>IF(VEND[[#This Row],[STATUS]]="PERDIDO","N/A","En espera")</f>
        <v>En espera</v>
      </c>
      <c r="G334" s="125" t="str">
        <f>TEXT(VEND[[#This Row],[Fecha Recibe
O.C]],"mmmm")</f>
        <v>En espera</v>
      </c>
      <c r="H334" s="112">
        <v>4522</v>
      </c>
      <c r="I334" s="112" t="s">
        <v>1241</v>
      </c>
      <c r="J334" s="112"/>
      <c r="K334" s="58">
        <v>1</v>
      </c>
      <c r="L334" s="123">
        <v>1191.28</v>
      </c>
      <c r="M334" s="112"/>
      <c r="N334" s="112"/>
      <c r="O334" s="212" t="str">
        <f>IF(VEND[[#This Row],[STATUS]]="O.C",(VEND[[#This Row],[Fecha Recibe
O.C]]+VEND[[#This Row],[Dias
entrega ]]),"")</f>
        <v/>
      </c>
      <c r="P334" s="212"/>
      <c r="Q334" s="58" t="str">
        <f>IFERROR(VEND[[#This Row],[Fecha de Despacho]]-VEND[[#This Row],[Fecha Estimada de Entrega a  Cliente]],"")</f>
        <v/>
      </c>
      <c r="R3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4" s="112" t="str">
        <f>IF(VEND[[#This Row],[STATUS]]="O.C","APROBADO",IF(VEND[[#This Row],[STATUS]]="PERDIDO","PERDIDO",IF(VEND[[#This Row],[STATUS]]="EN ESPERA","EN ESPERA")))</f>
        <v>EN ESPERA</v>
      </c>
      <c r="T334" s="112" t="str">
        <f>IF(VEND[[#This Row],[STATUS]]="O.C","APROBADO",IF(VEND[[#This Row],[STATUS]]="PERDIDO","PERDIDO",IF(VEND[[#This Row],[STATUS]]="EN ESPERA","EN ESPERA")))</f>
        <v>EN ESPERA</v>
      </c>
      <c r="U334" s="55" t="s">
        <v>23</v>
      </c>
      <c r="V334" s="55" t="s">
        <v>23</v>
      </c>
      <c r="W334" s="55" t="s">
        <v>1409</v>
      </c>
      <c r="X334" s="112"/>
    </row>
    <row r="335" spans="2:24" ht="15.75" x14ac:dyDescent="0.25">
      <c r="B335" s="71">
        <v>44314</v>
      </c>
      <c r="C335" s="71" t="str">
        <f>TEXT(VEND[[#This Row],[Fecha de Envío
Cotización]],"mmmm")</f>
        <v>abril</v>
      </c>
      <c r="D335" s="66" t="s">
        <v>1163</v>
      </c>
      <c r="E335" s="125" t="s">
        <v>88</v>
      </c>
      <c r="F335" s="125" t="str">
        <f>IF(VEND[[#This Row],[STATUS]]="PERDIDO","N/A","En espera")</f>
        <v>En espera</v>
      </c>
      <c r="G335" s="125" t="str">
        <f>TEXT(VEND[[#This Row],[Fecha Recibe
O.C]],"mmmm")</f>
        <v>En espera</v>
      </c>
      <c r="H335" s="112">
        <v>4523</v>
      </c>
      <c r="I335" s="55" t="s">
        <v>1241</v>
      </c>
      <c r="J335" s="112"/>
      <c r="K335" s="58">
        <v>1</v>
      </c>
      <c r="L335" s="123">
        <v>4963.37</v>
      </c>
      <c r="M335" s="55"/>
      <c r="N335" s="112"/>
      <c r="O335" s="212" t="str">
        <f>IF(VEND[[#This Row],[STATUS]]="O.C",(VEND[[#This Row],[Fecha Recibe
O.C]]+VEND[[#This Row],[Dias
entrega ]]),"")</f>
        <v/>
      </c>
      <c r="P335" s="212"/>
      <c r="Q335" s="58" t="str">
        <f>IFERROR(VEND[[#This Row],[Fecha de Despacho]]-VEND[[#This Row],[Fecha Estimada de Entrega a  Cliente]],"")</f>
        <v/>
      </c>
      <c r="R3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5" s="55" t="str">
        <f>IF(VEND[[#This Row],[STATUS]]="O.C","APROBADO",IF(VEND[[#This Row],[STATUS]]="PERDIDO","PERDIDO",IF(VEND[[#This Row],[STATUS]]="EN ESPERA","EN ESPERA")))</f>
        <v>EN ESPERA</v>
      </c>
      <c r="T335" s="55" t="str">
        <f>IF(VEND[[#This Row],[STATUS]]="O.C","APROBADO",IF(VEND[[#This Row],[STATUS]]="PERDIDO","PERDIDO",IF(VEND[[#This Row],[STATUS]]="EN ESPERA","EN ESPERA")))</f>
        <v>EN ESPERA</v>
      </c>
      <c r="U335" s="55" t="s">
        <v>23</v>
      </c>
      <c r="V335" s="55" t="s">
        <v>23</v>
      </c>
      <c r="W335" s="55" t="s">
        <v>1409</v>
      </c>
      <c r="X335" s="112"/>
    </row>
    <row r="336" spans="2:24" ht="15.75" x14ac:dyDescent="0.25">
      <c r="B336" s="65">
        <v>44314</v>
      </c>
      <c r="C336" s="71" t="str">
        <f>TEXT(VEND[[#This Row],[Fecha de Envío
Cotización]],"mmmm")</f>
        <v>abril</v>
      </c>
      <c r="D336" s="66" t="s">
        <v>1163</v>
      </c>
      <c r="E336" s="92" t="s">
        <v>88</v>
      </c>
      <c r="F336" s="125" t="str">
        <f>IF(VEND[[#This Row],[STATUS]]="PERDIDO","N/A","En espera")</f>
        <v>En espera</v>
      </c>
      <c r="G336" s="125" t="str">
        <f>TEXT(VEND[[#This Row],[Fecha Recibe
O.C]],"mmmm")</f>
        <v>En espera</v>
      </c>
      <c r="H336" s="112">
        <v>4524</v>
      </c>
      <c r="I336" s="55" t="s">
        <v>1241</v>
      </c>
      <c r="J336" s="55"/>
      <c r="K336" s="58">
        <v>1</v>
      </c>
      <c r="L336" s="123">
        <v>4029.44</v>
      </c>
      <c r="M336" s="112"/>
      <c r="N336" s="112"/>
      <c r="O336" s="212" t="str">
        <f>IF(VEND[[#This Row],[STATUS]]="O.C",(VEND[[#This Row],[Fecha Recibe
O.C]]+VEND[[#This Row],[Dias
entrega ]]),"")</f>
        <v/>
      </c>
      <c r="P336" s="212"/>
      <c r="Q336" s="58" t="str">
        <f>IFERROR(VEND[[#This Row],[Fecha de Despacho]]-VEND[[#This Row],[Fecha Estimada de Entrega a  Cliente]],"")</f>
        <v/>
      </c>
      <c r="R3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6" s="55" t="str">
        <f>IF(VEND[[#This Row],[STATUS]]="O.C","APROBADO",IF(VEND[[#This Row],[STATUS]]="PERDIDO","PERDIDO",IF(VEND[[#This Row],[STATUS]]="EN ESPERA","EN ESPERA")))</f>
        <v>EN ESPERA</v>
      </c>
      <c r="T336" s="55" t="str">
        <f>IF(VEND[[#This Row],[STATUS]]="O.C","APROBADO",IF(VEND[[#This Row],[STATUS]]="PERDIDO","PERDIDO",IF(VEND[[#This Row],[STATUS]]="EN ESPERA","EN ESPERA")))</f>
        <v>EN ESPERA</v>
      </c>
      <c r="U336" s="55" t="s">
        <v>23</v>
      </c>
      <c r="V336" s="55" t="s">
        <v>23</v>
      </c>
      <c r="W336" s="55" t="s">
        <v>1409</v>
      </c>
      <c r="X336" s="55"/>
    </row>
    <row r="337" spans="2:24" ht="15.75" x14ac:dyDescent="0.25">
      <c r="B337" s="71">
        <v>44314</v>
      </c>
      <c r="C337" s="71" t="str">
        <f>TEXT(VEND[[#This Row],[Fecha de Envío
Cotización]],"mmmm")</f>
        <v>abril</v>
      </c>
      <c r="D337" s="66" t="s">
        <v>1163</v>
      </c>
      <c r="E337" s="125" t="s">
        <v>88</v>
      </c>
      <c r="F337" s="125" t="str">
        <f>IF(VEND[[#This Row],[STATUS]]="PERDIDO","N/A","En espera")</f>
        <v>En espera</v>
      </c>
      <c r="G337" s="125" t="str">
        <f>TEXT(VEND[[#This Row],[Fecha Recibe
O.C]],"mmmm")</f>
        <v>En espera</v>
      </c>
      <c r="H337" s="112">
        <v>4525</v>
      </c>
      <c r="I337" s="55" t="s">
        <v>1241</v>
      </c>
      <c r="J337" s="112"/>
      <c r="K337" s="58">
        <v>1</v>
      </c>
      <c r="L337" s="123">
        <v>16198.94</v>
      </c>
      <c r="M337" s="55"/>
      <c r="N337" s="112"/>
      <c r="O337" s="212" t="str">
        <f>IF(VEND[[#This Row],[STATUS]]="O.C",(VEND[[#This Row],[Fecha Recibe
O.C]]+VEND[[#This Row],[Dias
entrega ]]),"")</f>
        <v/>
      </c>
      <c r="P337" s="212"/>
      <c r="Q337" s="58" t="str">
        <f>IFERROR(VEND[[#This Row],[Fecha de Despacho]]-VEND[[#This Row],[Fecha Estimada de Entrega a  Cliente]],"")</f>
        <v/>
      </c>
      <c r="R3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7" s="112" t="str">
        <f>IF(VEND[[#This Row],[STATUS]]="O.C","APROBADO",IF(VEND[[#This Row],[STATUS]]="PERDIDO","PERDIDO",IF(VEND[[#This Row],[STATUS]]="EN ESPERA","EN ESPERA")))</f>
        <v>EN ESPERA</v>
      </c>
      <c r="T337" s="112" t="str">
        <f>IF(VEND[[#This Row],[STATUS]]="O.C","APROBADO",IF(VEND[[#This Row],[STATUS]]="PERDIDO","PERDIDO",IF(VEND[[#This Row],[STATUS]]="EN ESPERA","EN ESPERA")))</f>
        <v>EN ESPERA</v>
      </c>
      <c r="U337" s="55" t="s">
        <v>23</v>
      </c>
      <c r="V337" s="55" t="s">
        <v>23</v>
      </c>
      <c r="W337" s="55" t="s">
        <v>1409</v>
      </c>
      <c r="X337" s="112"/>
    </row>
    <row r="338" spans="2:24" ht="15.75" x14ac:dyDescent="0.25">
      <c r="B338" s="232">
        <v>44314</v>
      </c>
      <c r="C338" s="71" t="str">
        <f>TEXT(VEND[[#This Row],[Fecha de Envío
Cotización]],"mmmm")</f>
        <v>abril</v>
      </c>
      <c r="D338" s="66" t="s">
        <v>1163</v>
      </c>
      <c r="E338" s="92" t="s">
        <v>83</v>
      </c>
      <c r="F338" s="93">
        <v>44321</v>
      </c>
      <c r="G338" s="93" t="str">
        <f>TEXT(VEND[[#This Row],[Fecha Recibe
O.C]],"mmmm")</f>
        <v>mayo</v>
      </c>
      <c r="H338" s="112">
        <v>4528</v>
      </c>
      <c r="I338" s="55" t="s">
        <v>1241</v>
      </c>
      <c r="J338" s="55"/>
      <c r="K338" s="58">
        <v>2</v>
      </c>
      <c r="L338" s="123">
        <v>871.38</v>
      </c>
      <c r="M338" s="55" t="s">
        <v>15</v>
      </c>
      <c r="N338" s="112">
        <v>14</v>
      </c>
      <c r="O338" s="212">
        <f>IF(VEND[[#This Row],[STATUS]]="O.C",(VEND[[#This Row],[Fecha Recibe
O.C]]+VEND[[#This Row],[Dias
entrega ]]),"")</f>
        <v>44335</v>
      </c>
      <c r="P338" s="212">
        <v>44355</v>
      </c>
      <c r="Q338" s="58">
        <f>IFERROR(VEND[[#This Row],[Fecha de Despacho]]-VEND[[#This Row],[Fecha Estimada de Entrega a  Cliente]],"")</f>
        <v>20</v>
      </c>
      <c r="R3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338" s="55" t="str">
        <f>IF(VEND[[#This Row],[STATUS]]="O.C","APROBADO",IF(VEND[[#This Row],[STATUS]]="PERDIDO","PERDIDO",IF(VEND[[#This Row],[STATUS]]="EN ESPERA","EN ESPERA")))</f>
        <v>APROBADO</v>
      </c>
      <c r="T338" s="55" t="str">
        <f>IF(VEND[[#This Row],[STATUS]]="O.C","APROBADO",IF(VEND[[#This Row],[STATUS]]="PERDIDO","PERDIDO",IF(VEND[[#This Row],[STATUS]]="EN ESPERA","EN ESPERA")))</f>
        <v>APROBADO</v>
      </c>
      <c r="U338" s="55" t="s">
        <v>45</v>
      </c>
      <c r="V338" s="55" t="s">
        <v>46</v>
      </c>
      <c r="W338" s="55" t="s">
        <v>1409</v>
      </c>
      <c r="X338" s="55" t="s">
        <v>1243</v>
      </c>
    </row>
    <row r="339" spans="2:24" ht="15.75" x14ac:dyDescent="0.25">
      <c r="B339" s="232">
        <v>44314</v>
      </c>
      <c r="C339" s="71" t="str">
        <f>TEXT(VEND[[#This Row],[Fecha de Envío
Cotización]],"mmmm")</f>
        <v>abril</v>
      </c>
      <c r="D339" s="66" t="s">
        <v>1163</v>
      </c>
      <c r="E339" s="92" t="s">
        <v>83</v>
      </c>
      <c r="F339" s="93">
        <v>44319</v>
      </c>
      <c r="G339" s="93" t="str">
        <f>TEXT(VEND[[#This Row],[Fecha Recibe
O.C]],"mmmm")</f>
        <v>mayo</v>
      </c>
      <c r="H339" s="112">
        <v>4529</v>
      </c>
      <c r="I339" s="112" t="s">
        <v>1241</v>
      </c>
      <c r="J339" s="55"/>
      <c r="K339" s="58">
        <v>1</v>
      </c>
      <c r="L339" s="123">
        <v>983.54</v>
      </c>
      <c r="M339" s="55"/>
      <c r="N339" s="112"/>
      <c r="O339" s="212">
        <f>IF(VEND[[#This Row],[STATUS]]="O.C",(VEND[[#This Row],[Fecha Recibe
O.C]]+VEND[[#This Row],[Dias
entrega ]]),"")</f>
        <v>44319</v>
      </c>
      <c r="P339" s="212"/>
      <c r="Q339" s="58">
        <f>IFERROR(VEND[[#This Row],[Fecha de Despacho]]-VEND[[#This Row],[Fecha Estimada de Entrega a  Cliente]],"")</f>
        <v>-44319</v>
      </c>
      <c r="R3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39" s="55" t="str">
        <f>IF(VEND[[#This Row],[STATUS]]="O.C","APROBADO",IF(VEND[[#This Row],[STATUS]]="PERDIDO","PERDIDO",IF(VEND[[#This Row],[STATUS]]="EN ESPERA","EN ESPERA")))</f>
        <v>APROBADO</v>
      </c>
      <c r="T339" s="55" t="str">
        <f>IF(VEND[[#This Row],[STATUS]]="O.C","APROBADO",IF(VEND[[#This Row],[STATUS]]="PERDIDO","PERDIDO",IF(VEND[[#This Row],[STATUS]]="EN ESPERA","EN ESPERA")))</f>
        <v>APROBADO</v>
      </c>
      <c r="U339" s="55" t="s">
        <v>46</v>
      </c>
      <c r="V339" s="55" t="s">
        <v>46</v>
      </c>
      <c r="W339" s="112" t="s">
        <v>1409</v>
      </c>
      <c r="X339" s="55" t="s">
        <v>1474</v>
      </c>
    </row>
    <row r="340" spans="2:24" ht="15.75" x14ac:dyDescent="0.25">
      <c r="B340" s="65">
        <v>44314</v>
      </c>
      <c r="C340" s="71" t="str">
        <f>TEXT(VEND[[#This Row],[Fecha de Envío
Cotización]],"mmmm")</f>
        <v>abril</v>
      </c>
      <c r="D340" s="66" t="s">
        <v>945</v>
      </c>
      <c r="E340" s="92" t="s">
        <v>83</v>
      </c>
      <c r="F340" s="93">
        <v>44316</v>
      </c>
      <c r="G340" s="93" t="str">
        <f>TEXT(VEND[[#This Row],[Fecha Recibe
O.C]],"mmmm")</f>
        <v>abril</v>
      </c>
      <c r="H340" s="112">
        <v>6009</v>
      </c>
      <c r="I340" s="60" t="s">
        <v>320</v>
      </c>
      <c r="J340" s="55"/>
      <c r="K340" s="58">
        <v>3</v>
      </c>
      <c r="L340" s="123">
        <v>1144.6300000000001</v>
      </c>
      <c r="M340" s="55" t="s">
        <v>15</v>
      </c>
      <c r="N340" s="112">
        <v>14</v>
      </c>
      <c r="O340" s="212">
        <f>IF(VEND[[#This Row],[STATUS]]="O.C",(VEND[[#This Row],[Fecha Recibe
O.C]]+VEND[[#This Row],[Dias
entrega ]]),"")</f>
        <v>44330</v>
      </c>
      <c r="P340" s="212">
        <v>44356</v>
      </c>
      <c r="Q340" s="58">
        <f>IFERROR(VEND[[#This Row],[Fecha de Despacho]]-VEND[[#This Row],[Fecha Estimada de Entrega a  Cliente]],"")</f>
        <v>26</v>
      </c>
      <c r="R3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340" s="55" t="str">
        <f>IF(VEND[[#This Row],[STATUS]]="O.C","APROBADO",IF(VEND[[#This Row],[STATUS]]="PERDIDO","PERDIDO",IF(VEND[[#This Row],[STATUS]]="EN ESPERA","EN ESPERA")))</f>
        <v>APROBADO</v>
      </c>
      <c r="T340" s="55" t="str">
        <f>IF(VEND[[#This Row],[STATUS]]="O.C","APROBADO",IF(VEND[[#This Row],[STATUS]]="PERDIDO","PERDIDO",IF(VEND[[#This Row],[STATUS]]="EN ESPERA","EN ESPERA")))</f>
        <v>APROBADO</v>
      </c>
      <c r="U340" s="112" t="s">
        <v>46</v>
      </c>
      <c r="V340" s="112" t="s">
        <v>46</v>
      </c>
      <c r="W340" s="112" t="s">
        <v>1403</v>
      </c>
      <c r="X340" s="55"/>
    </row>
    <row r="341" spans="2:24" ht="15.75" x14ac:dyDescent="0.25">
      <c r="B341" s="65">
        <v>44314</v>
      </c>
      <c r="C341" s="71" t="str">
        <f>TEXT(VEND[[#This Row],[Fecha de Envío
Cotización]],"mmmm")</f>
        <v>abril</v>
      </c>
      <c r="D341" s="66" t="s">
        <v>945</v>
      </c>
      <c r="E341" s="92" t="s">
        <v>88</v>
      </c>
      <c r="F341" s="115" t="str">
        <f>IF(VEND[[#This Row],[STATUS]]="PERDIDO","N/A","En espera")</f>
        <v>En espera</v>
      </c>
      <c r="G341" s="125" t="str">
        <f>TEXT(VEND[[#This Row],[Fecha Recibe
O.C]],"mmmm")</f>
        <v>En espera</v>
      </c>
      <c r="H341" s="112">
        <v>6011</v>
      </c>
      <c r="I341" s="55" t="s">
        <v>113</v>
      </c>
      <c r="J341" s="55"/>
      <c r="K341" s="58">
        <v>1</v>
      </c>
      <c r="L341" s="123">
        <v>844.2</v>
      </c>
      <c r="M341" s="55" t="s">
        <v>36</v>
      </c>
      <c r="N341" s="112">
        <v>28</v>
      </c>
      <c r="O341" s="212" t="str">
        <f>IF(VEND[[#This Row],[STATUS]]="O.C",(VEND[[#This Row],[Fecha Recibe
O.C]]+VEND[[#This Row],[Dias
entrega ]]),"")</f>
        <v/>
      </c>
      <c r="P341" s="212"/>
      <c r="Q341" s="58" t="str">
        <f>IFERROR(VEND[[#This Row],[Fecha de Despacho]]-VEND[[#This Row],[Fecha Estimada de Entrega a  Cliente]],"")</f>
        <v/>
      </c>
      <c r="R3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1" s="55" t="str">
        <f>IF(VEND[[#This Row],[STATUS]]="O.C","APROBADO",IF(VEND[[#This Row],[STATUS]]="PERDIDO","PERDIDO",IF(VEND[[#This Row],[STATUS]]="EN ESPERA","EN ESPERA")))</f>
        <v>EN ESPERA</v>
      </c>
      <c r="T341" s="55" t="str">
        <f>IF(VEND[[#This Row],[STATUS]]="O.C","APROBADO",IF(VEND[[#This Row],[STATUS]]="PERDIDO","PERDIDO",IF(VEND[[#This Row],[STATUS]]="EN ESPERA","EN ESPERA")))</f>
        <v>EN ESPERA</v>
      </c>
      <c r="U341" s="112" t="s">
        <v>23</v>
      </c>
      <c r="V341" s="112" t="s">
        <v>23</v>
      </c>
      <c r="W341" s="112" t="s">
        <v>1408</v>
      </c>
      <c r="X341" s="55"/>
    </row>
    <row r="342" spans="2:24" ht="15.75" x14ac:dyDescent="0.25">
      <c r="B342" s="71">
        <v>44314</v>
      </c>
      <c r="C342" s="71" t="str">
        <f>TEXT(VEND[[#This Row],[Fecha de Envío
Cotización]],"mmmm")</f>
        <v>abril</v>
      </c>
      <c r="D342" s="66" t="s">
        <v>945</v>
      </c>
      <c r="E342" s="92" t="s">
        <v>42</v>
      </c>
      <c r="F342" s="125" t="str">
        <f>IF(VEND[[#This Row],[STATUS]]="PERDIDO","N/A","En espera")</f>
        <v>N/A</v>
      </c>
      <c r="G342" s="125" t="str">
        <f>TEXT(VEND[[#This Row],[Fecha Recibe
O.C]],"mmmm")</f>
        <v>N/A</v>
      </c>
      <c r="H342" s="112">
        <v>6012</v>
      </c>
      <c r="I342" s="112" t="s">
        <v>130</v>
      </c>
      <c r="J342" s="112"/>
      <c r="K342" s="58">
        <v>1</v>
      </c>
      <c r="L342" s="123">
        <v>1329.24</v>
      </c>
      <c r="M342" s="112" t="s">
        <v>36</v>
      </c>
      <c r="N342" s="112">
        <v>28</v>
      </c>
      <c r="O342" s="212" t="str">
        <f>IF(VEND[[#This Row],[STATUS]]="O.C",(VEND[[#This Row],[Fecha Recibe
O.C]]+VEND[[#This Row],[Dias
entrega ]]),"")</f>
        <v/>
      </c>
      <c r="P342" s="212"/>
      <c r="Q342" s="58" t="str">
        <f>IFERROR(VEND[[#This Row],[Fecha de Despacho]]-VEND[[#This Row],[Fecha Estimada de Entrega a  Cliente]],"")</f>
        <v/>
      </c>
      <c r="R3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2" s="112" t="str">
        <f>IF(VEND[[#This Row],[STATUS]]="O.C","APROBADO",IF(VEND[[#This Row],[STATUS]]="PERDIDO","PERDIDO",IF(VEND[[#This Row],[STATUS]]="EN ESPERA","EN ESPERA")))</f>
        <v>PERDIDO</v>
      </c>
      <c r="T342" s="112" t="str">
        <f>IF(VEND[[#This Row],[STATUS]]="O.C","APROBADO",IF(VEND[[#This Row],[STATUS]]="PERDIDO","PERDIDO",IF(VEND[[#This Row],[STATUS]]="EN ESPERA","EN ESPERA")))</f>
        <v>PERDIDO</v>
      </c>
      <c r="U342" s="55" t="s">
        <v>23</v>
      </c>
      <c r="V342" s="55" t="s">
        <v>23</v>
      </c>
      <c r="W342" s="55" t="s">
        <v>1409</v>
      </c>
      <c r="X342" s="112"/>
    </row>
    <row r="343" spans="2:24" ht="15.75" x14ac:dyDescent="0.25">
      <c r="B343" s="65">
        <v>44315</v>
      </c>
      <c r="C343" s="71" t="str">
        <f>TEXT(VEND[[#This Row],[Fecha de Envío
Cotización]],"mmmm")</f>
        <v>abril</v>
      </c>
      <c r="D343" s="66" t="s">
        <v>50</v>
      </c>
      <c r="E343" s="92" t="s">
        <v>42</v>
      </c>
      <c r="F343" s="125" t="str">
        <f>IF(VEND[[#This Row],[STATUS]]="PERDIDO","N/A","En espera")</f>
        <v>N/A</v>
      </c>
      <c r="G343" s="125" t="str">
        <f>TEXT(VEND[[#This Row],[Fecha Recibe
O.C]],"mmmm")</f>
        <v>N/A</v>
      </c>
      <c r="H343" s="112">
        <v>1525</v>
      </c>
      <c r="I343" s="112" t="s">
        <v>109</v>
      </c>
      <c r="J343" s="55"/>
      <c r="K343" s="58">
        <v>1</v>
      </c>
      <c r="L343" s="123">
        <v>566.80999999999995</v>
      </c>
      <c r="M343" s="55" t="s">
        <v>134</v>
      </c>
      <c r="N343" s="112">
        <v>28</v>
      </c>
      <c r="O343" s="212" t="str">
        <f>IF(VEND[[#This Row],[STATUS]]="O.C",(VEND[[#This Row],[Fecha Recibe
O.C]]+VEND[[#This Row],[Dias
entrega ]]),"")</f>
        <v/>
      </c>
      <c r="P343" s="212"/>
      <c r="Q343" s="58" t="str">
        <f>IFERROR(VEND[[#This Row],[Fecha de Despacho]]-VEND[[#This Row],[Fecha Estimada de Entrega a  Cliente]],"")</f>
        <v/>
      </c>
      <c r="R3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3" s="55" t="str">
        <f>IF(VEND[[#This Row],[STATUS]]="O.C","APROBADO",IF(VEND[[#This Row],[STATUS]]="PERDIDO","PERDIDO",IF(VEND[[#This Row],[STATUS]]="EN ESPERA","EN ESPERA")))</f>
        <v>PERDIDO</v>
      </c>
      <c r="T343" s="55" t="str">
        <f>IF(VEND[[#This Row],[STATUS]]="O.C","APROBADO",IF(VEND[[#This Row],[STATUS]]="PERDIDO","PERDIDO",IF(VEND[[#This Row],[STATUS]]="EN ESPERA","EN ESPERA")))</f>
        <v>PERDIDO</v>
      </c>
      <c r="U343" s="112" t="s">
        <v>23</v>
      </c>
      <c r="V343" s="112" t="s">
        <v>23</v>
      </c>
      <c r="W343" s="55" t="s">
        <v>1401</v>
      </c>
      <c r="X343" s="112"/>
    </row>
    <row r="344" spans="2:24" ht="15.75" x14ac:dyDescent="0.25">
      <c r="B344" s="71">
        <v>44315</v>
      </c>
      <c r="C344" s="71" t="str">
        <f>TEXT(VEND[[#This Row],[Fecha de Envío
Cotización]],"mmmm")</f>
        <v>abril</v>
      </c>
      <c r="D344" s="66" t="s">
        <v>50</v>
      </c>
      <c r="E344" s="92" t="s">
        <v>42</v>
      </c>
      <c r="F344" s="125" t="str">
        <f>IF(VEND[[#This Row],[STATUS]]="PERDIDO","N/A","En espera")</f>
        <v>N/A</v>
      </c>
      <c r="G344" s="125" t="str">
        <f>TEXT(VEND[[#This Row],[Fecha Recibe
O.C]],"mmmm")</f>
        <v>N/A</v>
      </c>
      <c r="H344" s="112">
        <v>1526</v>
      </c>
      <c r="I344" s="55" t="s">
        <v>109</v>
      </c>
      <c r="J344" s="55"/>
      <c r="K344" s="58">
        <v>1</v>
      </c>
      <c r="L344" s="123">
        <v>2592.34</v>
      </c>
      <c r="M344" s="55" t="s">
        <v>134</v>
      </c>
      <c r="N344" s="112">
        <v>28</v>
      </c>
      <c r="O344" s="212" t="str">
        <f>IF(VEND[[#This Row],[STATUS]]="O.C",(VEND[[#This Row],[Fecha Recibe
O.C]]+VEND[[#This Row],[Dias
entrega ]]),"")</f>
        <v/>
      </c>
      <c r="P344" s="212"/>
      <c r="Q344" s="58" t="str">
        <f>IFERROR(VEND[[#This Row],[Fecha de Despacho]]-VEND[[#This Row],[Fecha Estimada de Entrega a  Cliente]],"")</f>
        <v/>
      </c>
      <c r="R3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4" s="55" t="str">
        <f>IF(VEND[[#This Row],[STATUS]]="O.C","APROBADO",IF(VEND[[#This Row],[STATUS]]="PERDIDO","PERDIDO",IF(VEND[[#This Row],[STATUS]]="EN ESPERA","EN ESPERA")))</f>
        <v>PERDIDO</v>
      </c>
      <c r="T344" s="55" t="str">
        <f>IF(VEND[[#This Row],[STATUS]]="O.C","APROBADO",IF(VEND[[#This Row],[STATUS]]="PERDIDO","PERDIDO",IF(VEND[[#This Row],[STATUS]]="EN ESPERA","EN ESPERA")))</f>
        <v>PERDIDO</v>
      </c>
      <c r="U344" s="112" t="s">
        <v>23</v>
      </c>
      <c r="V344" s="112" t="s">
        <v>23</v>
      </c>
      <c r="W344" s="112" t="s">
        <v>1401</v>
      </c>
      <c r="X344" s="55"/>
    </row>
    <row r="345" spans="2:24" ht="15.75" x14ac:dyDescent="0.25">
      <c r="B345" s="71">
        <v>44315</v>
      </c>
      <c r="C345" s="71" t="str">
        <f>TEXT(VEND[[#This Row],[Fecha de Envío
Cotización]],"mmmm")</f>
        <v>abril</v>
      </c>
      <c r="D345" s="66" t="s">
        <v>50</v>
      </c>
      <c r="E345" s="92" t="s">
        <v>42</v>
      </c>
      <c r="F345" s="125" t="str">
        <f>IF(VEND[[#This Row],[STATUS]]="PERDIDO","N/A","En espera")</f>
        <v>N/A</v>
      </c>
      <c r="G345" s="125" t="str">
        <f>TEXT(VEND[[#This Row],[Fecha Recibe
O.C]],"mmmm")</f>
        <v>N/A</v>
      </c>
      <c r="H345" s="112">
        <v>1527</v>
      </c>
      <c r="I345" s="55" t="s">
        <v>33</v>
      </c>
      <c r="J345" s="55"/>
      <c r="K345" s="58">
        <v>2</v>
      </c>
      <c r="L345" s="123">
        <v>760.33</v>
      </c>
      <c r="M345" s="55" t="s">
        <v>51</v>
      </c>
      <c r="N345" s="112">
        <v>21</v>
      </c>
      <c r="O345" s="212" t="str">
        <f>IF(VEND[[#This Row],[STATUS]]="O.C",(VEND[[#This Row],[Fecha Recibe
O.C]]+VEND[[#This Row],[Dias
entrega ]]),"")</f>
        <v/>
      </c>
      <c r="P345" s="212"/>
      <c r="Q345" s="58" t="str">
        <f>IFERROR(VEND[[#This Row],[Fecha de Despacho]]-VEND[[#This Row],[Fecha Estimada de Entrega a  Cliente]],"")</f>
        <v/>
      </c>
      <c r="R3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5" s="55" t="str">
        <f>IF(VEND[[#This Row],[STATUS]]="O.C","APROBADO",IF(VEND[[#This Row],[STATUS]]="PERDIDO","PERDIDO",IF(VEND[[#This Row],[STATUS]]="EN ESPERA","EN ESPERA")))</f>
        <v>PERDIDO</v>
      </c>
      <c r="T345" s="55" t="str">
        <f>IF(VEND[[#This Row],[STATUS]]="O.C","APROBADO",IF(VEND[[#This Row],[STATUS]]="PERDIDO","PERDIDO",IF(VEND[[#This Row],[STATUS]]="EN ESPERA","EN ESPERA")))</f>
        <v>PERDIDO</v>
      </c>
      <c r="U345" s="112" t="s">
        <v>23</v>
      </c>
      <c r="V345" s="112" t="s">
        <v>23</v>
      </c>
      <c r="W345" s="112" t="s">
        <v>1402</v>
      </c>
      <c r="X345" s="55"/>
    </row>
    <row r="346" spans="2:24" ht="15.75" x14ac:dyDescent="0.25">
      <c r="B346" s="65">
        <v>44315</v>
      </c>
      <c r="C346" s="71" t="str">
        <f>TEXT(VEND[[#This Row],[Fecha de Envío
Cotización]],"mmmm")</f>
        <v>abril</v>
      </c>
      <c r="D346" s="66" t="s">
        <v>50</v>
      </c>
      <c r="E346" s="92" t="s">
        <v>42</v>
      </c>
      <c r="F346" s="125" t="str">
        <f>IF(VEND[[#This Row],[STATUS]]="PERDIDO","N/A","En espera")</f>
        <v>N/A</v>
      </c>
      <c r="G346" s="125" t="str">
        <f>TEXT(VEND[[#This Row],[Fecha Recibe
O.C]],"mmmm")</f>
        <v>N/A</v>
      </c>
      <c r="H346" s="112">
        <v>1528</v>
      </c>
      <c r="I346" s="55" t="s">
        <v>116</v>
      </c>
      <c r="J346" s="112"/>
      <c r="K346" s="58">
        <v>3</v>
      </c>
      <c r="L346" s="123">
        <v>2213.1</v>
      </c>
      <c r="M346" s="55" t="s">
        <v>134</v>
      </c>
      <c r="N346" s="112">
        <v>28</v>
      </c>
      <c r="O346" s="212" t="str">
        <f>IF(VEND[[#This Row],[STATUS]]="O.C",(VEND[[#This Row],[Fecha Recibe
O.C]]+VEND[[#This Row],[Dias
entrega ]]),"")</f>
        <v/>
      </c>
      <c r="P346" s="212"/>
      <c r="Q346" s="58" t="str">
        <f>IFERROR(VEND[[#This Row],[Fecha de Despacho]]-VEND[[#This Row],[Fecha Estimada de Entrega a  Cliente]],"")</f>
        <v/>
      </c>
      <c r="R3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6" s="55" t="str">
        <f>IF(VEND[[#This Row],[STATUS]]="O.C","APROBADO",IF(VEND[[#This Row],[STATUS]]="PERDIDO","PERDIDO",IF(VEND[[#This Row],[STATUS]]="EN ESPERA","EN ESPERA")))</f>
        <v>PERDIDO</v>
      </c>
      <c r="T346" s="55" t="str">
        <f>IF(VEND[[#This Row],[STATUS]]="O.C","APROBADO",IF(VEND[[#This Row],[STATUS]]="PERDIDO","PERDIDO",IF(VEND[[#This Row],[STATUS]]="EN ESPERA","EN ESPERA")))</f>
        <v>PERDIDO</v>
      </c>
      <c r="U346" s="55" t="s">
        <v>23</v>
      </c>
      <c r="V346" s="55" t="s">
        <v>23</v>
      </c>
      <c r="W346" s="55" t="s">
        <v>1401</v>
      </c>
      <c r="X346" s="55"/>
    </row>
    <row r="347" spans="2:24" ht="15.75" x14ac:dyDescent="0.25">
      <c r="B347" s="71">
        <v>44315</v>
      </c>
      <c r="C347" s="71" t="str">
        <f>TEXT(VEND[[#This Row],[Fecha de Envío
Cotización]],"mmmm")</f>
        <v>abril</v>
      </c>
      <c r="D347" s="66" t="s">
        <v>50</v>
      </c>
      <c r="E347" s="125" t="s">
        <v>42</v>
      </c>
      <c r="F347" s="125" t="str">
        <f>IF(VEND[[#This Row],[STATUS]]="PERDIDO","N/A","En espera")</f>
        <v>N/A</v>
      </c>
      <c r="G347" s="125" t="str">
        <f>TEXT(VEND[[#This Row],[Fecha Recibe
O.C]],"mmmm")</f>
        <v>N/A</v>
      </c>
      <c r="H347" s="112">
        <v>1529</v>
      </c>
      <c r="I347" s="55" t="s">
        <v>116</v>
      </c>
      <c r="J347" s="112"/>
      <c r="K347" s="58">
        <v>4</v>
      </c>
      <c r="L347" s="123">
        <v>749.58</v>
      </c>
      <c r="M347" s="112" t="s">
        <v>134</v>
      </c>
      <c r="N347" s="112">
        <v>28</v>
      </c>
      <c r="O347" s="212" t="str">
        <f>IF(VEND[[#This Row],[STATUS]]="O.C",(VEND[[#This Row],[Fecha Recibe
O.C]]+VEND[[#This Row],[Dias
entrega ]]),"")</f>
        <v/>
      </c>
      <c r="P347" s="212"/>
      <c r="Q347" s="58" t="str">
        <f>IFERROR(VEND[[#This Row],[Fecha de Despacho]]-VEND[[#This Row],[Fecha Estimada de Entrega a  Cliente]],"")</f>
        <v/>
      </c>
      <c r="R3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7" s="55" t="str">
        <f>IF(VEND[[#This Row],[STATUS]]="O.C","APROBADO",IF(VEND[[#This Row],[STATUS]]="PERDIDO","PERDIDO",IF(VEND[[#This Row],[STATUS]]="EN ESPERA","EN ESPERA")))</f>
        <v>PERDIDO</v>
      </c>
      <c r="T347" s="55" t="str">
        <f>IF(VEND[[#This Row],[STATUS]]="O.C","APROBADO",IF(VEND[[#This Row],[STATUS]]="PERDIDO","PERDIDO",IF(VEND[[#This Row],[STATUS]]="EN ESPERA","EN ESPERA")))</f>
        <v>PERDIDO</v>
      </c>
      <c r="U347" s="112" t="s">
        <v>23</v>
      </c>
      <c r="V347" s="112" t="s">
        <v>23</v>
      </c>
      <c r="W347" s="112" t="s">
        <v>1401</v>
      </c>
      <c r="X347" s="112"/>
    </row>
    <row r="348" spans="2:24" ht="15.75" x14ac:dyDescent="0.25">
      <c r="B348" s="71">
        <v>44315</v>
      </c>
      <c r="C348" s="71" t="str">
        <f>TEXT(VEND[[#This Row],[Fecha de Envío
Cotización]],"mmmm")</f>
        <v>abril</v>
      </c>
      <c r="D348" s="66" t="s">
        <v>50</v>
      </c>
      <c r="E348" s="92" t="s">
        <v>42</v>
      </c>
      <c r="F348" s="125" t="str">
        <f>IF(VEND[[#This Row],[STATUS]]="PERDIDO","N/A","En espera")</f>
        <v>N/A</v>
      </c>
      <c r="G348" s="125" t="str">
        <f>TEXT(VEND[[#This Row],[Fecha Recibe
O.C]],"mmmm")</f>
        <v>N/A</v>
      </c>
      <c r="H348" s="112">
        <v>1530</v>
      </c>
      <c r="I348" s="112" t="s">
        <v>109</v>
      </c>
      <c r="J348" s="55"/>
      <c r="K348" s="58">
        <v>1</v>
      </c>
      <c r="L348" s="123">
        <v>4693.47</v>
      </c>
      <c r="M348" s="112" t="s">
        <v>22</v>
      </c>
      <c r="N348" s="112">
        <v>0</v>
      </c>
      <c r="O348" s="212" t="str">
        <f>IF(VEND[[#This Row],[STATUS]]="O.C",(VEND[[#This Row],[Fecha Recibe
O.C]]+VEND[[#This Row],[Dias
entrega ]]),"")</f>
        <v/>
      </c>
      <c r="P348" s="212"/>
      <c r="Q348" s="58" t="str">
        <f>IFERROR(VEND[[#This Row],[Fecha de Despacho]]-VEND[[#This Row],[Fecha Estimada de Entrega a  Cliente]],"")</f>
        <v/>
      </c>
      <c r="R3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8" s="55" t="str">
        <f>IF(VEND[[#This Row],[STATUS]]="O.C","APROBADO",IF(VEND[[#This Row],[STATUS]]="PERDIDO","PERDIDO",IF(VEND[[#This Row],[STATUS]]="EN ESPERA","EN ESPERA")))</f>
        <v>PERDIDO</v>
      </c>
      <c r="T348" s="55" t="str">
        <f>IF(VEND[[#This Row],[STATUS]]="O.C","APROBADO",IF(VEND[[#This Row],[STATUS]]="PERDIDO","PERDIDO",IF(VEND[[#This Row],[STATUS]]="EN ESPERA","EN ESPERA")))</f>
        <v>PERDIDO</v>
      </c>
      <c r="U348" s="112" t="s">
        <v>23</v>
      </c>
      <c r="V348" s="112" t="s">
        <v>23</v>
      </c>
      <c r="W348" s="112" t="s">
        <v>1401</v>
      </c>
      <c r="X348" s="55"/>
    </row>
    <row r="349" spans="2:24" ht="15.75" x14ac:dyDescent="0.25">
      <c r="B349" s="71">
        <v>44315</v>
      </c>
      <c r="C349" s="71" t="str">
        <f>TEXT(VEND[[#This Row],[Fecha de Envío
Cotización]],"mmmm")</f>
        <v>abril</v>
      </c>
      <c r="D349" s="66" t="s">
        <v>1163</v>
      </c>
      <c r="E349" s="92" t="s">
        <v>88</v>
      </c>
      <c r="F349" s="125" t="str">
        <f>IF(VEND[[#This Row],[STATUS]]="PERDIDO","N/A","En espera")</f>
        <v>En espera</v>
      </c>
      <c r="G349" s="125" t="str">
        <f>TEXT(VEND[[#This Row],[Fecha Recibe
O.C]],"mmmm")</f>
        <v>En espera</v>
      </c>
      <c r="H349" s="112">
        <v>4530</v>
      </c>
      <c r="I349" s="55" t="s">
        <v>1241</v>
      </c>
      <c r="J349" s="55"/>
      <c r="K349" s="58">
        <v>11</v>
      </c>
      <c r="L349" s="123">
        <v>1326.38</v>
      </c>
      <c r="M349" s="112"/>
      <c r="N349" s="112"/>
      <c r="O349" s="212" t="str">
        <f>IF(VEND[[#This Row],[STATUS]]="O.C",(VEND[[#This Row],[Fecha Recibe
O.C]]+VEND[[#This Row],[Dias
entrega ]]),"")</f>
        <v/>
      </c>
      <c r="P349" s="212"/>
      <c r="Q349" s="58" t="str">
        <f>IFERROR(VEND[[#This Row],[Fecha de Despacho]]-VEND[[#This Row],[Fecha Estimada de Entrega a  Cliente]],"")</f>
        <v/>
      </c>
      <c r="R3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49" s="55" t="str">
        <f>IF(VEND[[#This Row],[STATUS]]="O.C","APROBADO",IF(VEND[[#This Row],[STATUS]]="PERDIDO","PERDIDO",IF(VEND[[#This Row],[STATUS]]="EN ESPERA","EN ESPERA")))</f>
        <v>EN ESPERA</v>
      </c>
      <c r="T349" s="55" t="str">
        <f>IF(VEND[[#This Row],[STATUS]]="O.C","APROBADO",IF(VEND[[#This Row],[STATUS]]="PERDIDO","PERDIDO",IF(VEND[[#This Row],[STATUS]]="EN ESPERA","EN ESPERA")))</f>
        <v>EN ESPERA</v>
      </c>
      <c r="U349" s="112" t="s">
        <v>23</v>
      </c>
      <c r="V349" s="112" t="s">
        <v>23</v>
      </c>
      <c r="W349" s="112" t="s">
        <v>1409</v>
      </c>
      <c r="X349" s="55"/>
    </row>
    <row r="350" spans="2:24" ht="15.75" x14ac:dyDescent="0.25">
      <c r="B350" s="71">
        <v>44315</v>
      </c>
      <c r="C350" s="71" t="str">
        <f>TEXT(VEND[[#This Row],[Fecha de Envío
Cotización]],"mmmm")</f>
        <v>abril</v>
      </c>
      <c r="D350" s="66" t="s">
        <v>1163</v>
      </c>
      <c r="E350" s="92" t="s">
        <v>88</v>
      </c>
      <c r="F350" s="125" t="str">
        <f>IF(VEND[[#This Row],[STATUS]]="PERDIDO","N/A","En espera")</f>
        <v>En espera</v>
      </c>
      <c r="G350" s="125" t="str">
        <f>TEXT(VEND[[#This Row],[Fecha Recibe
O.C]],"mmmm")</f>
        <v>En espera</v>
      </c>
      <c r="H350" s="112">
        <v>4531</v>
      </c>
      <c r="I350" s="55" t="s">
        <v>1241</v>
      </c>
      <c r="J350" s="55"/>
      <c r="K350" s="58">
        <v>1</v>
      </c>
      <c r="L350" s="123">
        <v>1380.5</v>
      </c>
      <c r="M350" s="112"/>
      <c r="N350" s="112"/>
      <c r="O350" s="212" t="str">
        <f>IF(VEND[[#This Row],[STATUS]]="O.C",(VEND[[#This Row],[Fecha Recibe
O.C]]+VEND[[#This Row],[Dias
entrega ]]),"")</f>
        <v/>
      </c>
      <c r="P350" s="212"/>
      <c r="Q350" s="58" t="str">
        <f>IFERROR(VEND[[#This Row],[Fecha de Despacho]]-VEND[[#This Row],[Fecha Estimada de Entrega a  Cliente]],"")</f>
        <v/>
      </c>
      <c r="R3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0" s="55" t="str">
        <f>IF(VEND[[#This Row],[STATUS]]="O.C","APROBADO",IF(VEND[[#This Row],[STATUS]]="PERDIDO","PERDIDO",IF(VEND[[#This Row],[STATUS]]="EN ESPERA","EN ESPERA")))</f>
        <v>EN ESPERA</v>
      </c>
      <c r="T350" s="55" t="str">
        <f>IF(VEND[[#This Row],[STATUS]]="O.C","APROBADO",IF(VEND[[#This Row],[STATUS]]="PERDIDO","PERDIDO",IF(VEND[[#This Row],[STATUS]]="EN ESPERA","EN ESPERA")))</f>
        <v>EN ESPERA</v>
      </c>
      <c r="U350" s="112" t="s">
        <v>23</v>
      </c>
      <c r="V350" s="112" t="s">
        <v>23</v>
      </c>
      <c r="W350" s="112" t="s">
        <v>1409</v>
      </c>
      <c r="X350" s="55"/>
    </row>
    <row r="351" spans="2:24" ht="15.75" x14ac:dyDescent="0.25">
      <c r="B351" s="71">
        <v>44315</v>
      </c>
      <c r="C351" s="71" t="str">
        <f>TEXT(VEND[[#This Row],[Fecha de Envío
Cotización]],"mmmm")</f>
        <v>abril</v>
      </c>
      <c r="D351" s="66" t="s">
        <v>1163</v>
      </c>
      <c r="E351" s="92" t="s">
        <v>88</v>
      </c>
      <c r="F351" s="125" t="str">
        <f>IF(VEND[[#This Row],[STATUS]]="PERDIDO","N/A","En espera")</f>
        <v>En espera</v>
      </c>
      <c r="G351" s="125" t="str">
        <f>TEXT(VEND[[#This Row],[Fecha Recibe
O.C]],"mmmm")</f>
        <v>En espera</v>
      </c>
      <c r="H351" s="112">
        <v>4532</v>
      </c>
      <c r="I351" s="112" t="s">
        <v>1241</v>
      </c>
      <c r="J351" s="112"/>
      <c r="K351" s="58">
        <v>2</v>
      </c>
      <c r="L351" s="123">
        <v>3658.72</v>
      </c>
      <c r="M351" s="112"/>
      <c r="N351" s="112"/>
      <c r="O351" s="212" t="str">
        <f>IF(VEND[[#This Row],[STATUS]]="O.C",(VEND[[#This Row],[Fecha Recibe
O.C]]+VEND[[#This Row],[Dias
entrega ]]),"")</f>
        <v/>
      </c>
      <c r="P351" s="212"/>
      <c r="Q351" s="58" t="str">
        <f>IFERROR(VEND[[#This Row],[Fecha de Despacho]]-VEND[[#This Row],[Fecha Estimada de Entrega a  Cliente]],"")</f>
        <v/>
      </c>
      <c r="R3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1" s="112" t="str">
        <f>IF(VEND[[#This Row],[STATUS]]="O.C","APROBADO",IF(VEND[[#This Row],[STATUS]]="PERDIDO","PERDIDO",IF(VEND[[#This Row],[STATUS]]="EN ESPERA","EN ESPERA")))</f>
        <v>EN ESPERA</v>
      </c>
      <c r="T351" s="112" t="str">
        <f>IF(VEND[[#This Row],[STATUS]]="O.C","APROBADO",IF(VEND[[#This Row],[STATUS]]="PERDIDO","PERDIDO",IF(VEND[[#This Row],[STATUS]]="EN ESPERA","EN ESPERA")))</f>
        <v>EN ESPERA</v>
      </c>
      <c r="U351" s="112" t="s">
        <v>23</v>
      </c>
      <c r="V351" s="112" t="s">
        <v>23</v>
      </c>
      <c r="W351" s="112" t="s">
        <v>1409</v>
      </c>
      <c r="X351" s="112"/>
    </row>
    <row r="352" spans="2:24" ht="15.75" x14ac:dyDescent="0.25">
      <c r="B352" s="71">
        <v>44315</v>
      </c>
      <c r="C352" s="71" t="str">
        <f>TEXT(VEND[[#This Row],[Fecha de Envío
Cotización]],"mmmm")</f>
        <v>abril</v>
      </c>
      <c r="D352" s="66" t="s">
        <v>1163</v>
      </c>
      <c r="E352" s="92" t="s">
        <v>88</v>
      </c>
      <c r="F352" s="125" t="str">
        <f>IF(VEND[[#This Row],[STATUS]]="PERDIDO","N/A","En espera")</f>
        <v>En espera</v>
      </c>
      <c r="G352" s="125" t="str">
        <f>TEXT(VEND[[#This Row],[Fecha Recibe
O.C]],"mmmm")</f>
        <v>En espera</v>
      </c>
      <c r="H352" s="112">
        <v>4533</v>
      </c>
      <c r="I352" s="112" t="s">
        <v>1241</v>
      </c>
      <c r="J352" s="112"/>
      <c r="K352" s="58">
        <v>1</v>
      </c>
      <c r="L352" s="123">
        <v>961</v>
      </c>
      <c r="M352" s="112"/>
      <c r="N352" s="112"/>
      <c r="O352" s="212" t="str">
        <f>IF(VEND[[#This Row],[STATUS]]="O.C",(VEND[[#This Row],[Fecha Recibe
O.C]]+VEND[[#This Row],[Dias
entrega ]]),"")</f>
        <v/>
      </c>
      <c r="P352" s="212"/>
      <c r="Q352" s="58" t="str">
        <f>IFERROR(VEND[[#This Row],[Fecha de Despacho]]-VEND[[#This Row],[Fecha Estimada de Entrega a  Cliente]],"")</f>
        <v/>
      </c>
      <c r="R3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2" s="112" t="str">
        <f>IF(VEND[[#This Row],[STATUS]]="O.C","APROBADO",IF(VEND[[#This Row],[STATUS]]="PERDIDO","PERDIDO",IF(VEND[[#This Row],[STATUS]]="EN ESPERA","EN ESPERA")))</f>
        <v>EN ESPERA</v>
      </c>
      <c r="T352" s="112" t="str">
        <f>IF(VEND[[#This Row],[STATUS]]="O.C","APROBADO",IF(VEND[[#This Row],[STATUS]]="PERDIDO","PERDIDO",IF(VEND[[#This Row],[STATUS]]="EN ESPERA","EN ESPERA")))</f>
        <v>EN ESPERA</v>
      </c>
      <c r="U352" s="112" t="s">
        <v>23</v>
      </c>
      <c r="V352" s="112" t="s">
        <v>23</v>
      </c>
      <c r="W352" s="112" t="s">
        <v>1409</v>
      </c>
      <c r="X352" s="112"/>
    </row>
    <row r="353" spans="2:24" ht="15.75" x14ac:dyDescent="0.25">
      <c r="B353" s="71">
        <v>44315</v>
      </c>
      <c r="C353" s="71" t="str">
        <f>TEXT(VEND[[#This Row],[Fecha de Envío
Cotización]],"mmmm")</f>
        <v>abril</v>
      </c>
      <c r="D353" s="66" t="s">
        <v>68</v>
      </c>
      <c r="E353" s="92" t="s">
        <v>42</v>
      </c>
      <c r="F353" s="125" t="str">
        <f>IF(VEND[[#This Row],[STATUS]]="PERDIDO","N/A","En espera")</f>
        <v>N/A</v>
      </c>
      <c r="G353" s="125" t="str">
        <f>TEXT(VEND[[#This Row],[Fecha Recibe
O.C]],"mmmm")</f>
        <v>N/A</v>
      </c>
      <c r="H353" s="112">
        <v>30720</v>
      </c>
      <c r="I353" s="112" t="s">
        <v>122</v>
      </c>
      <c r="J353" s="112"/>
      <c r="K353" s="58">
        <v>7</v>
      </c>
      <c r="L353" s="123">
        <v>46120.35</v>
      </c>
      <c r="M353" s="112" t="s">
        <v>22</v>
      </c>
      <c r="N353" s="112">
        <v>0</v>
      </c>
      <c r="O353" s="212" t="str">
        <f>IF(VEND[[#This Row],[STATUS]]="O.C",(VEND[[#This Row],[Fecha Recibe
O.C]]+VEND[[#This Row],[Dias
entrega ]]),"")</f>
        <v/>
      </c>
      <c r="P353" s="212"/>
      <c r="Q353" s="58" t="str">
        <f>IFERROR(VEND[[#This Row],[Fecha de Despacho]]-VEND[[#This Row],[Fecha Estimada de Entrega a  Cliente]],"")</f>
        <v/>
      </c>
      <c r="R3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3" s="112" t="str">
        <f>IF(VEND[[#This Row],[STATUS]]="O.C","APROBADO",IF(VEND[[#This Row],[STATUS]]="PERDIDO","PERDIDO",IF(VEND[[#This Row],[STATUS]]="EN ESPERA","EN ESPERA")))</f>
        <v>PERDIDO</v>
      </c>
      <c r="T353" s="112" t="str">
        <f>IF(VEND[[#This Row],[STATUS]]="O.C","APROBADO",IF(VEND[[#This Row],[STATUS]]="PERDIDO","PERDIDO",IF(VEND[[#This Row],[STATUS]]="EN ESPERA","EN ESPERA")))</f>
        <v>PERDIDO</v>
      </c>
      <c r="U353" s="55" t="s">
        <v>23</v>
      </c>
      <c r="V353" s="55" t="s">
        <v>23</v>
      </c>
      <c r="W353" s="112" t="s">
        <v>1402</v>
      </c>
      <c r="X353" s="112"/>
    </row>
    <row r="354" spans="2:24" ht="15.75" x14ac:dyDescent="0.25">
      <c r="B354" s="71">
        <v>44319</v>
      </c>
      <c r="C354" s="71" t="str">
        <f>TEXT(VEND[[#This Row],[Fecha de Envío
Cotización]],"mmmm")</f>
        <v>mayo</v>
      </c>
      <c r="D354" s="66" t="s">
        <v>50</v>
      </c>
      <c r="E354" s="92" t="s">
        <v>42</v>
      </c>
      <c r="F354" s="125" t="str">
        <f>IF(VEND[[#This Row],[STATUS]]="PERDIDO","N/A","En espera")</f>
        <v>N/A</v>
      </c>
      <c r="G354" s="125" t="str">
        <f>TEXT(VEND[[#This Row],[Fecha Recibe
O.C]],"mmmm")</f>
        <v>N/A</v>
      </c>
      <c r="H354" s="112">
        <v>1531</v>
      </c>
      <c r="I354" s="112" t="s">
        <v>109</v>
      </c>
      <c r="J354" s="112"/>
      <c r="K354" s="58">
        <v>1</v>
      </c>
      <c r="L354" s="123">
        <v>6381.24</v>
      </c>
      <c r="M354" s="112" t="s">
        <v>51</v>
      </c>
      <c r="N354" s="112">
        <v>21</v>
      </c>
      <c r="O354" s="212" t="str">
        <f>IF(VEND[[#This Row],[STATUS]]="O.C",(VEND[[#This Row],[Fecha Recibe
O.C]]+VEND[[#This Row],[Dias
entrega ]]),"")</f>
        <v/>
      </c>
      <c r="P354" s="212"/>
      <c r="Q354" s="58" t="str">
        <f>IFERROR(VEND[[#This Row],[Fecha de Despacho]]-VEND[[#This Row],[Fecha Estimada de Entrega a  Cliente]],"")</f>
        <v/>
      </c>
      <c r="R3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4" s="112" t="str">
        <f>IF(VEND[[#This Row],[STATUS]]="O.C","APROBADO",IF(VEND[[#This Row],[STATUS]]="PERDIDO","PERDIDO",IF(VEND[[#This Row],[STATUS]]="EN ESPERA","EN ESPERA")))</f>
        <v>PERDIDO</v>
      </c>
      <c r="T354" s="112" t="str">
        <f>IF(VEND[[#This Row],[STATUS]]="O.C","APROBADO",IF(VEND[[#This Row],[STATUS]]="PERDIDO","PERDIDO",IF(VEND[[#This Row],[STATUS]]="EN ESPERA","EN ESPERA")))</f>
        <v>PERDIDO</v>
      </c>
      <c r="U354" s="55" t="s">
        <v>23</v>
      </c>
      <c r="V354" s="55" t="s">
        <v>23</v>
      </c>
      <c r="W354" s="55" t="s">
        <v>1401</v>
      </c>
      <c r="X354" s="112"/>
    </row>
    <row r="355" spans="2:24" ht="15.75" x14ac:dyDescent="0.25">
      <c r="B355" s="71">
        <v>44319</v>
      </c>
      <c r="C355" s="71" t="str">
        <f>TEXT(VEND[[#This Row],[Fecha de Envío
Cotización]],"mmmm")</f>
        <v>mayo</v>
      </c>
      <c r="D355" s="66" t="s">
        <v>50</v>
      </c>
      <c r="E355" s="92" t="s">
        <v>88</v>
      </c>
      <c r="F355" s="125" t="str">
        <f>IF(VEND[[#This Row],[STATUS]]="PERDIDO","N/A","En espera")</f>
        <v>En espera</v>
      </c>
      <c r="G355" s="125" t="str">
        <f>TEXT(VEND[[#This Row],[Fecha Recibe
O.C]],"mmmm")</f>
        <v>En espera</v>
      </c>
      <c r="H355" s="112">
        <v>1532</v>
      </c>
      <c r="I355" s="55" t="s">
        <v>33</v>
      </c>
      <c r="J355" s="112"/>
      <c r="K355" s="58">
        <v>1</v>
      </c>
      <c r="L355" s="123">
        <v>323.02</v>
      </c>
      <c r="M355" s="112" t="s">
        <v>51</v>
      </c>
      <c r="N355" s="112">
        <v>21</v>
      </c>
      <c r="O355" s="212" t="str">
        <f>IF(VEND[[#This Row],[STATUS]]="O.C",(VEND[[#This Row],[Fecha Recibe
O.C]]+VEND[[#This Row],[Dias
entrega ]]),"")</f>
        <v/>
      </c>
      <c r="P355" s="212"/>
      <c r="Q355" s="58" t="str">
        <f>IFERROR(VEND[[#This Row],[Fecha de Despacho]]-VEND[[#This Row],[Fecha Estimada de Entrega a  Cliente]],"")</f>
        <v/>
      </c>
      <c r="R3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5" s="112" t="str">
        <f>IF(VEND[[#This Row],[STATUS]]="O.C","APROBADO",IF(VEND[[#This Row],[STATUS]]="PERDIDO","PERDIDO",IF(VEND[[#This Row],[STATUS]]="EN ESPERA","EN ESPERA")))</f>
        <v>EN ESPERA</v>
      </c>
      <c r="T355" s="112" t="str">
        <f>IF(VEND[[#This Row],[STATUS]]="O.C","APROBADO",IF(VEND[[#This Row],[STATUS]]="PERDIDO","PERDIDO",IF(VEND[[#This Row],[STATUS]]="EN ESPERA","EN ESPERA")))</f>
        <v>EN ESPERA</v>
      </c>
      <c r="U355" s="55" t="s">
        <v>23</v>
      </c>
      <c r="V355" s="55" t="s">
        <v>23</v>
      </c>
      <c r="W355" s="55" t="s">
        <v>1402</v>
      </c>
      <c r="X355" s="112"/>
    </row>
    <row r="356" spans="2:24" ht="15.75" x14ac:dyDescent="0.25">
      <c r="B356" s="71">
        <v>44319</v>
      </c>
      <c r="C356" s="71" t="str">
        <f>TEXT(VEND[[#This Row],[Fecha de Envío
Cotización]],"mmmm")</f>
        <v>mayo</v>
      </c>
      <c r="D356" s="66" t="s">
        <v>50</v>
      </c>
      <c r="E356" s="92" t="s">
        <v>88</v>
      </c>
      <c r="F356" s="125" t="str">
        <f>IF(VEND[[#This Row],[STATUS]]="PERDIDO","N/A","En espera")</f>
        <v>En espera</v>
      </c>
      <c r="G356" s="125" t="str">
        <f>TEXT(VEND[[#This Row],[Fecha Recibe
O.C]],"mmmm")</f>
        <v>En espera</v>
      </c>
      <c r="H356" s="112">
        <v>1533</v>
      </c>
      <c r="I356" s="112" t="s">
        <v>33</v>
      </c>
      <c r="J356" s="112"/>
      <c r="K356" s="58">
        <v>1</v>
      </c>
      <c r="L356" s="123">
        <v>5040.8500000000004</v>
      </c>
      <c r="M356" s="112" t="s">
        <v>1099</v>
      </c>
      <c r="N356" s="112">
        <v>56</v>
      </c>
      <c r="O356" s="212" t="str">
        <f>IF(VEND[[#This Row],[STATUS]]="O.C",(VEND[[#This Row],[Fecha Recibe
O.C]]+VEND[[#This Row],[Dias
entrega ]]),"")</f>
        <v/>
      </c>
      <c r="P356" s="212"/>
      <c r="Q356" s="58" t="str">
        <f>IFERROR(VEND[[#This Row],[Fecha de Despacho]]-VEND[[#This Row],[Fecha Estimada de Entrega a  Cliente]],"")</f>
        <v/>
      </c>
      <c r="R3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6" s="112" t="str">
        <f>IF(VEND[[#This Row],[STATUS]]="O.C","APROBADO",IF(VEND[[#This Row],[STATUS]]="PERDIDO","PERDIDO",IF(VEND[[#This Row],[STATUS]]="EN ESPERA","EN ESPERA")))</f>
        <v>EN ESPERA</v>
      </c>
      <c r="T356" s="112" t="str">
        <f>IF(VEND[[#This Row],[STATUS]]="O.C","APROBADO",IF(VEND[[#This Row],[STATUS]]="PERDIDO","PERDIDO",IF(VEND[[#This Row],[STATUS]]="EN ESPERA","EN ESPERA")))</f>
        <v>EN ESPERA</v>
      </c>
      <c r="U356" s="55" t="s">
        <v>23</v>
      </c>
      <c r="V356" s="55" t="s">
        <v>23</v>
      </c>
      <c r="W356" s="55" t="s">
        <v>1402</v>
      </c>
      <c r="X356" s="112"/>
    </row>
    <row r="357" spans="2:24" ht="15.75" x14ac:dyDescent="0.25">
      <c r="B357" s="71">
        <v>44319</v>
      </c>
      <c r="C357" s="71" t="str">
        <f>TEXT(VEND[[#This Row],[Fecha de Envío
Cotización]],"mmmm")</f>
        <v>mayo</v>
      </c>
      <c r="D357" s="66" t="s">
        <v>50</v>
      </c>
      <c r="E357" s="125" t="s">
        <v>42</v>
      </c>
      <c r="F357" s="125" t="str">
        <f>IF(VEND[[#This Row],[STATUS]]="PERDIDO","N/A","En espera")</f>
        <v>N/A</v>
      </c>
      <c r="G357" s="125" t="str">
        <f>TEXT(VEND[[#This Row],[Fecha Recibe
O.C]],"mmmm")</f>
        <v>N/A</v>
      </c>
      <c r="H357" s="112">
        <v>1534</v>
      </c>
      <c r="I357" s="112" t="s">
        <v>109</v>
      </c>
      <c r="J357" s="112"/>
      <c r="K357" s="58">
        <v>1</v>
      </c>
      <c r="L357" s="123">
        <v>289.95999999999998</v>
      </c>
      <c r="M357" s="112" t="s">
        <v>51</v>
      </c>
      <c r="N357" s="112">
        <v>21</v>
      </c>
      <c r="O357" s="212" t="str">
        <f>IF(VEND[[#This Row],[STATUS]]="O.C",(VEND[[#This Row],[Fecha Recibe
O.C]]+VEND[[#This Row],[Dias
entrega ]]),"")</f>
        <v/>
      </c>
      <c r="P357" s="212"/>
      <c r="Q357" s="58" t="str">
        <f>IFERROR(VEND[[#This Row],[Fecha de Despacho]]-VEND[[#This Row],[Fecha Estimada de Entrega a  Cliente]],"")</f>
        <v/>
      </c>
      <c r="R3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7" s="112" t="str">
        <f>IF(VEND[[#This Row],[STATUS]]="O.C","APROBADO",IF(VEND[[#This Row],[STATUS]]="PERDIDO","PERDIDO",IF(VEND[[#This Row],[STATUS]]="EN ESPERA","EN ESPERA")))</f>
        <v>PERDIDO</v>
      </c>
      <c r="T357" s="112" t="str">
        <f>IF(VEND[[#This Row],[STATUS]]="O.C","APROBADO",IF(VEND[[#This Row],[STATUS]]="PERDIDO","PERDIDO",IF(VEND[[#This Row],[STATUS]]="EN ESPERA","EN ESPERA")))</f>
        <v>PERDIDO</v>
      </c>
      <c r="U357" s="55" t="s">
        <v>23</v>
      </c>
      <c r="V357" s="55" t="s">
        <v>23</v>
      </c>
      <c r="W357" s="55" t="s">
        <v>1401</v>
      </c>
      <c r="X357" s="112"/>
    </row>
    <row r="358" spans="2:24" ht="15.75" x14ac:dyDescent="0.25">
      <c r="B358" s="71">
        <v>44319</v>
      </c>
      <c r="C358" s="71" t="str">
        <f>TEXT(VEND[[#This Row],[Fecha de Envío
Cotización]],"mmmm")</f>
        <v>mayo</v>
      </c>
      <c r="D358" s="66" t="s">
        <v>68</v>
      </c>
      <c r="E358" s="125" t="s">
        <v>88</v>
      </c>
      <c r="F358" s="125" t="str">
        <f>IF(VEND[[#This Row],[STATUS]]="PERDIDO","N/A","En espera")</f>
        <v>En espera</v>
      </c>
      <c r="G358" s="125" t="str">
        <f>TEXT(VEND[[#This Row],[Fecha Recibe
O.C]],"mmmm")</f>
        <v>En espera</v>
      </c>
      <c r="H358" s="112">
        <v>2615</v>
      </c>
      <c r="I358" s="112" t="s">
        <v>96</v>
      </c>
      <c r="J358" s="112"/>
      <c r="K358" s="58">
        <v>15</v>
      </c>
      <c r="L358" s="123">
        <v>5285.78</v>
      </c>
      <c r="M358" s="112" t="s">
        <v>22</v>
      </c>
      <c r="N358" s="112">
        <v>0</v>
      </c>
      <c r="O358" s="212" t="str">
        <f>IF(VEND[[#This Row],[STATUS]]="O.C",(VEND[[#This Row],[Fecha Recibe
O.C]]+VEND[[#This Row],[Dias
entrega ]]),"")</f>
        <v/>
      </c>
      <c r="P358" s="212"/>
      <c r="Q358" s="58" t="str">
        <f>IFERROR(VEND[[#This Row],[Fecha de Despacho]]-VEND[[#This Row],[Fecha Estimada de Entrega a  Cliente]],"")</f>
        <v/>
      </c>
      <c r="R3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8" s="112" t="str">
        <f>IF(VEND[[#This Row],[STATUS]]="O.C","APROBADO",IF(VEND[[#This Row],[STATUS]]="PERDIDO","PERDIDO",IF(VEND[[#This Row],[STATUS]]="EN ESPERA","EN ESPERA")))</f>
        <v>EN ESPERA</v>
      </c>
      <c r="T358" s="112" t="str">
        <f>IF(VEND[[#This Row],[STATUS]]="O.C","APROBADO",IF(VEND[[#This Row],[STATUS]]="PERDIDO","PERDIDO",IF(VEND[[#This Row],[STATUS]]="EN ESPERA","EN ESPERA")))</f>
        <v>EN ESPERA</v>
      </c>
      <c r="U358" s="55" t="s">
        <v>23</v>
      </c>
      <c r="V358" s="55" t="s">
        <v>23</v>
      </c>
      <c r="W358" s="112" t="s">
        <v>1402</v>
      </c>
      <c r="X358" s="112"/>
    </row>
    <row r="359" spans="2:24" ht="15.75" x14ac:dyDescent="0.25">
      <c r="B359" s="71">
        <v>44319</v>
      </c>
      <c r="C359" s="71" t="str">
        <f>TEXT(VEND[[#This Row],[Fecha de Envío
Cotización]],"mmmm")</f>
        <v>mayo</v>
      </c>
      <c r="D359" s="66" t="s">
        <v>68</v>
      </c>
      <c r="E359" s="125" t="s">
        <v>88</v>
      </c>
      <c r="F359" s="125" t="str">
        <f>IF(VEND[[#This Row],[STATUS]]="PERDIDO","N/A","En espera")</f>
        <v>En espera</v>
      </c>
      <c r="G359" s="125" t="str">
        <f>TEXT(VEND[[#This Row],[Fecha Recibe
O.C]],"mmmm")</f>
        <v>En espera</v>
      </c>
      <c r="H359" s="112">
        <v>2616</v>
      </c>
      <c r="I359" s="112" t="s">
        <v>96</v>
      </c>
      <c r="J359" s="112"/>
      <c r="K359" s="58">
        <v>1</v>
      </c>
      <c r="L359" s="123">
        <v>646</v>
      </c>
      <c r="M359" s="112" t="s">
        <v>22</v>
      </c>
      <c r="N359" s="112">
        <v>0</v>
      </c>
      <c r="O359" s="212" t="str">
        <f>IF(VEND[[#This Row],[STATUS]]="O.C",(VEND[[#This Row],[Fecha Recibe
O.C]]+VEND[[#This Row],[Dias
entrega ]]),"")</f>
        <v/>
      </c>
      <c r="P359" s="212"/>
      <c r="Q359" s="58" t="str">
        <f>IFERROR(VEND[[#This Row],[Fecha de Despacho]]-VEND[[#This Row],[Fecha Estimada de Entrega a  Cliente]],"")</f>
        <v/>
      </c>
      <c r="R3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59" s="112" t="str">
        <f>IF(VEND[[#This Row],[STATUS]]="O.C","APROBADO",IF(VEND[[#This Row],[STATUS]]="PERDIDO","PERDIDO",IF(VEND[[#This Row],[STATUS]]="EN ESPERA","EN ESPERA")))</f>
        <v>EN ESPERA</v>
      </c>
      <c r="T359" s="112" t="str">
        <f>IF(VEND[[#This Row],[STATUS]]="O.C","APROBADO",IF(VEND[[#This Row],[STATUS]]="PERDIDO","PERDIDO",IF(VEND[[#This Row],[STATUS]]="EN ESPERA","EN ESPERA")))</f>
        <v>EN ESPERA</v>
      </c>
      <c r="U359" s="55" t="s">
        <v>23</v>
      </c>
      <c r="V359" s="55" t="s">
        <v>23</v>
      </c>
      <c r="W359" s="112" t="s">
        <v>1402</v>
      </c>
      <c r="X359" s="112"/>
    </row>
    <row r="360" spans="2:24" ht="15.75" x14ac:dyDescent="0.25">
      <c r="B360" s="71">
        <v>44319</v>
      </c>
      <c r="C360" s="71" t="str">
        <f>TEXT(VEND[[#This Row],[Fecha de Envío
Cotización]],"mmmm")</f>
        <v>mayo</v>
      </c>
      <c r="D360" s="66" t="s">
        <v>68</v>
      </c>
      <c r="E360" s="125" t="s">
        <v>88</v>
      </c>
      <c r="F360" s="125" t="str">
        <f>IF(VEND[[#This Row],[STATUS]]="PERDIDO","N/A","En espera")</f>
        <v>En espera</v>
      </c>
      <c r="G360" s="125" t="str">
        <f>TEXT(VEND[[#This Row],[Fecha Recibe
O.C]],"mmmm")</f>
        <v>En espera</v>
      </c>
      <c r="H360" s="112">
        <v>2618</v>
      </c>
      <c r="I360" s="112" t="s">
        <v>96</v>
      </c>
      <c r="J360" s="112"/>
      <c r="K360" s="58">
        <v>1</v>
      </c>
      <c r="L360" s="123">
        <v>10330.33</v>
      </c>
      <c r="M360" s="55" t="s">
        <v>36</v>
      </c>
      <c r="N360" s="112">
        <v>28</v>
      </c>
      <c r="O360" s="212" t="str">
        <f>IF(VEND[[#This Row],[STATUS]]="O.C",(VEND[[#This Row],[Fecha Recibe
O.C]]+VEND[[#This Row],[Dias
entrega ]]),"")</f>
        <v/>
      </c>
      <c r="P360" s="212"/>
      <c r="Q360" s="58" t="str">
        <f>IFERROR(VEND[[#This Row],[Fecha de Despacho]]-VEND[[#This Row],[Fecha Estimada de Entrega a  Cliente]],"")</f>
        <v/>
      </c>
      <c r="R3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0" s="112" t="str">
        <f>IF(VEND[[#This Row],[STATUS]]="O.C","APROBADO",IF(VEND[[#This Row],[STATUS]]="PERDIDO","PERDIDO",IF(VEND[[#This Row],[STATUS]]="EN ESPERA","EN ESPERA")))</f>
        <v>EN ESPERA</v>
      </c>
      <c r="T360" s="112" t="str">
        <f>IF(VEND[[#This Row],[STATUS]]="O.C","APROBADO",IF(VEND[[#This Row],[STATUS]]="PERDIDO","PERDIDO",IF(VEND[[#This Row],[STATUS]]="EN ESPERA","EN ESPERA")))</f>
        <v>EN ESPERA</v>
      </c>
      <c r="U360" s="112" t="s">
        <v>23</v>
      </c>
      <c r="V360" s="112" t="s">
        <v>23</v>
      </c>
      <c r="W360" s="112" t="s">
        <v>1402</v>
      </c>
      <c r="X360" s="112"/>
    </row>
    <row r="361" spans="2:24" ht="15.75" x14ac:dyDescent="0.25">
      <c r="B361" s="71">
        <v>44319</v>
      </c>
      <c r="C361" s="71" t="str">
        <f>TEXT(VEND[[#This Row],[Fecha de Envío
Cotización]],"mmmm")</f>
        <v>mayo</v>
      </c>
      <c r="D361" s="66" t="s">
        <v>41</v>
      </c>
      <c r="E361" s="125" t="s">
        <v>88</v>
      </c>
      <c r="F361" s="92" t="str">
        <f>IF(VEND[[#This Row],[STATUS]]="PERDIDO","N/A","En espera")</f>
        <v>En espera</v>
      </c>
      <c r="G361" s="125" t="str">
        <f>TEXT(VEND[[#This Row],[Fecha Recibe
O.C]],"mmmm")</f>
        <v>En espera</v>
      </c>
      <c r="H361" s="112">
        <v>3508</v>
      </c>
      <c r="I361" s="112" t="s">
        <v>416</v>
      </c>
      <c r="J361" s="112"/>
      <c r="K361" s="58">
        <v>1</v>
      </c>
      <c r="L361" s="123">
        <v>5004.1000000000004</v>
      </c>
      <c r="M361" s="112" t="s">
        <v>419</v>
      </c>
      <c r="N361" s="112">
        <v>35</v>
      </c>
      <c r="O361" s="212" t="str">
        <f>IF(VEND[[#This Row],[STATUS]]="O.C",(VEND[[#This Row],[Fecha Recibe
O.C]]+VEND[[#This Row],[Dias
entrega ]]),"")</f>
        <v/>
      </c>
      <c r="P361" s="212"/>
      <c r="Q361" s="58" t="str">
        <f>IFERROR(VEND[[#This Row],[Fecha de Despacho]]-VEND[[#This Row],[Fecha Estimada de Entrega a  Cliente]],"")</f>
        <v/>
      </c>
      <c r="R3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1" s="112" t="str">
        <f>IF(VEND[[#This Row],[STATUS]]="O.C","APROBADO",IF(VEND[[#This Row],[STATUS]]="PERDIDO","PERDIDO",IF(VEND[[#This Row],[STATUS]]="EN ESPERA","EN ESPERA")))</f>
        <v>EN ESPERA</v>
      </c>
      <c r="T361" s="112" t="str">
        <f>IF(VEND[[#This Row],[STATUS]]="O.C","APROBADO",IF(VEND[[#This Row],[STATUS]]="PERDIDO","PERDIDO",IF(VEND[[#This Row],[STATUS]]="EN ESPERA","EN ESPERA")))</f>
        <v>EN ESPERA</v>
      </c>
      <c r="U361" s="112" t="s">
        <v>23</v>
      </c>
      <c r="V361" s="112" t="s">
        <v>23</v>
      </c>
      <c r="W361" s="112" t="s">
        <v>1401</v>
      </c>
      <c r="X361" s="112"/>
    </row>
    <row r="362" spans="2:24" ht="15.75" x14ac:dyDescent="0.25">
      <c r="B362" s="232">
        <v>44319</v>
      </c>
      <c r="C362" s="71" t="str">
        <f>TEXT(VEND[[#This Row],[Fecha de Envío
Cotización]],"mmmm")</f>
        <v>mayo</v>
      </c>
      <c r="D362" s="66" t="s">
        <v>1163</v>
      </c>
      <c r="E362" s="125" t="s">
        <v>83</v>
      </c>
      <c r="F362" s="125">
        <v>44327</v>
      </c>
      <c r="G362" s="125" t="str">
        <f>TEXT(VEND[[#This Row],[Fecha Recibe
O.C]],"mmmm")</f>
        <v>mayo</v>
      </c>
      <c r="H362" s="112">
        <v>4536</v>
      </c>
      <c r="I362" s="112" t="s">
        <v>1241</v>
      </c>
      <c r="J362" s="112"/>
      <c r="K362" s="58">
        <v>12</v>
      </c>
      <c r="L362" s="123">
        <v>2861.19</v>
      </c>
      <c r="M362" s="112"/>
      <c r="N362" s="112"/>
      <c r="O362" s="212">
        <f>IF(VEND[[#This Row],[STATUS]]="O.C",(VEND[[#This Row],[Fecha Recibe
O.C]]+VEND[[#This Row],[Dias
entrega ]]),"")</f>
        <v>44327</v>
      </c>
      <c r="P362" s="212"/>
      <c r="Q362" s="58">
        <f>IFERROR(VEND[[#This Row],[Fecha de Despacho]]-VEND[[#This Row],[Fecha Estimada de Entrega a  Cliente]],"")</f>
        <v>-44327</v>
      </c>
      <c r="R3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2" s="112" t="str">
        <f>IF(VEND[[#This Row],[STATUS]]="O.C","APROBADO",IF(VEND[[#This Row],[STATUS]]="PERDIDO","PERDIDO",IF(VEND[[#This Row],[STATUS]]="EN ESPERA","EN ESPERA")))</f>
        <v>APROBADO</v>
      </c>
      <c r="T362" s="112" t="str">
        <f>IF(VEND[[#This Row],[STATUS]]="O.C","APROBADO",IF(VEND[[#This Row],[STATUS]]="PERDIDO","PERDIDO",IF(VEND[[#This Row],[STATUS]]="EN ESPERA","EN ESPERA")))</f>
        <v>APROBADO</v>
      </c>
      <c r="U362" s="57" t="s">
        <v>23</v>
      </c>
      <c r="V362" s="57" t="s">
        <v>23</v>
      </c>
      <c r="W362" s="112" t="s">
        <v>1409</v>
      </c>
      <c r="X362" s="112" t="s">
        <v>1412</v>
      </c>
    </row>
    <row r="363" spans="2:24" ht="15.75" x14ac:dyDescent="0.25">
      <c r="B363" s="71">
        <v>44319</v>
      </c>
      <c r="C363" s="71" t="str">
        <f>TEXT(VEND[[#This Row],[Fecha de Envío
Cotización]],"mmmm")</f>
        <v>mayo</v>
      </c>
      <c r="D363" s="66" t="s">
        <v>1163</v>
      </c>
      <c r="E363" s="125" t="s">
        <v>88</v>
      </c>
      <c r="F363" s="125" t="str">
        <f>IF(VEND[[#This Row],[STATUS]]="PERDIDO","N/A","En espera")</f>
        <v>En espera</v>
      </c>
      <c r="G363" s="125" t="str">
        <f>TEXT(VEND[[#This Row],[Fecha Recibe
O.C]],"mmmm")</f>
        <v>En espera</v>
      </c>
      <c r="H363" s="112">
        <v>4537</v>
      </c>
      <c r="I363" s="112" t="s">
        <v>1241</v>
      </c>
      <c r="J363" s="112"/>
      <c r="K363" s="58">
        <v>1</v>
      </c>
      <c r="L363" s="123">
        <v>2290.6799999999998</v>
      </c>
      <c r="M363" s="112"/>
      <c r="N363" s="112"/>
      <c r="O363" s="212" t="str">
        <f>IF(VEND[[#This Row],[STATUS]]="O.C",(VEND[[#This Row],[Fecha Recibe
O.C]]+VEND[[#This Row],[Dias
entrega ]]),"")</f>
        <v/>
      </c>
      <c r="P363" s="212"/>
      <c r="Q363" s="58" t="str">
        <f>IFERROR(VEND[[#This Row],[Fecha de Despacho]]-VEND[[#This Row],[Fecha Estimada de Entrega a  Cliente]],"")</f>
        <v/>
      </c>
      <c r="R3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3" s="112" t="str">
        <f>IF(VEND[[#This Row],[STATUS]]="O.C","APROBADO",IF(VEND[[#This Row],[STATUS]]="PERDIDO","PERDIDO",IF(VEND[[#This Row],[STATUS]]="EN ESPERA","EN ESPERA")))</f>
        <v>EN ESPERA</v>
      </c>
      <c r="T363" s="112" t="str">
        <f>IF(VEND[[#This Row],[STATUS]]="O.C","APROBADO",IF(VEND[[#This Row],[STATUS]]="PERDIDO","PERDIDO",IF(VEND[[#This Row],[STATUS]]="EN ESPERA","EN ESPERA")))</f>
        <v>EN ESPERA</v>
      </c>
      <c r="U363" s="57" t="s">
        <v>23</v>
      </c>
      <c r="V363" s="57" t="s">
        <v>23</v>
      </c>
      <c r="W363" s="55" t="s">
        <v>1409</v>
      </c>
      <c r="X363" s="112"/>
    </row>
    <row r="364" spans="2:24" ht="15.75" x14ac:dyDescent="0.25">
      <c r="B364" s="71">
        <v>44319</v>
      </c>
      <c r="C364" s="71" t="str">
        <f>TEXT(VEND[[#This Row],[Fecha de Envío
Cotización]],"mmmm")</f>
        <v>mayo</v>
      </c>
      <c r="D364" s="66" t="s">
        <v>1163</v>
      </c>
      <c r="E364" s="125" t="s">
        <v>88</v>
      </c>
      <c r="F364" s="125" t="str">
        <f>IF(VEND[[#This Row],[STATUS]]="PERDIDO","N/A","En espera")</f>
        <v>En espera</v>
      </c>
      <c r="G364" s="125" t="str">
        <f>TEXT(VEND[[#This Row],[Fecha Recibe
O.C]],"mmmm")</f>
        <v>En espera</v>
      </c>
      <c r="H364" s="112">
        <v>4540</v>
      </c>
      <c r="I364" s="112" t="s">
        <v>1242</v>
      </c>
      <c r="J364" s="112"/>
      <c r="K364" s="58">
        <v>1</v>
      </c>
      <c r="L364" s="123">
        <v>1127.52</v>
      </c>
      <c r="M364" s="112"/>
      <c r="N364" s="112"/>
      <c r="O364" s="212" t="str">
        <f>IF(VEND[[#This Row],[STATUS]]="O.C",(VEND[[#This Row],[Fecha Recibe
O.C]]+VEND[[#This Row],[Dias
entrega ]]),"")</f>
        <v/>
      </c>
      <c r="P364" s="212"/>
      <c r="Q364" s="58" t="str">
        <f>IFERROR(VEND[[#This Row],[Fecha de Despacho]]-VEND[[#This Row],[Fecha Estimada de Entrega a  Cliente]],"")</f>
        <v/>
      </c>
      <c r="R3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4" s="112" t="str">
        <f>IF(VEND[[#This Row],[STATUS]]="O.C","APROBADO",IF(VEND[[#This Row],[STATUS]]="PERDIDO","PERDIDO",IF(VEND[[#This Row],[STATUS]]="EN ESPERA","EN ESPERA")))</f>
        <v>EN ESPERA</v>
      </c>
      <c r="T364" s="112" t="str">
        <f>IF(VEND[[#This Row],[STATUS]]="O.C","APROBADO",IF(VEND[[#This Row],[STATUS]]="PERDIDO","PERDIDO",IF(VEND[[#This Row],[STATUS]]="EN ESPERA","EN ESPERA")))</f>
        <v>EN ESPERA</v>
      </c>
      <c r="U364" s="57" t="s">
        <v>23</v>
      </c>
      <c r="V364" s="57" t="s">
        <v>23</v>
      </c>
      <c r="W364" s="55" t="s">
        <v>1401</v>
      </c>
      <c r="X364" s="112"/>
    </row>
    <row r="365" spans="2:24" ht="15.75" x14ac:dyDescent="0.25">
      <c r="B365" s="71">
        <v>44319</v>
      </c>
      <c r="C365" s="71" t="str">
        <f>TEXT(VEND[[#This Row],[Fecha de Envío
Cotización]],"mmmm")</f>
        <v>mayo</v>
      </c>
      <c r="D365" s="66" t="s">
        <v>1163</v>
      </c>
      <c r="E365" s="125" t="s">
        <v>88</v>
      </c>
      <c r="F365" s="125" t="str">
        <f>IF(VEND[[#This Row],[STATUS]]="PERDIDO","N/A","En espera")</f>
        <v>En espera</v>
      </c>
      <c r="G365" s="125" t="str">
        <f>TEXT(VEND[[#This Row],[Fecha Recibe
O.C]],"mmmm")</f>
        <v>En espera</v>
      </c>
      <c r="H365" s="112">
        <v>4541</v>
      </c>
      <c r="I365" s="112" t="s">
        <v>1242</v>
      </c>
      <c r="J365" s="112"/>
      <c r="K365" s="58">
        <v>1</v>
      </c>
      <c r="L365" s="123">
        <v>4608.28</v>
      </c>
      <c r="M365" s="112"/>
      <c r="N365" s="112"/>
      <c r="O365" s="212" t="str">
        <f>IF(VEND[[#This Row],[STATUS]]="O.C",(VEND[[#This Row],[Fecha Recibe
O.C]]+VEND[[#This Row],[Dias
entrega ]]),"")</f>
        <v/>
      </c>
      <c r="P365" s="212"/>
      <c r="Q365" s="58" t="str">
        <f>IFERROR(VEND[[#This Row],[Fecha de Despacho]]-VEND[[#This Row],[Fecha Estimada de Entrega a  Cliente]],"")</f>
        <v/>
      </c>
      <c r="R3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5" s="112" t="str">
        <f>IF(VEND[[#This Row],[STATUS]]="O.C","APROBADO",IF(VEND[[#This Row],[STATUS]]="PERDIDO","PERDIDO",IF(VEND[[#This Row],[STATUS]]="EN ESPERA","EN ESPERA")))</f>
        <v>EN ESPERA</v>
      </c>
      <c r="T365" s="112" t="str">
        <f>IF(VEND[[#This Row],[STATUS]]="O.C","APROBADO",IF(VEND[[#This Row],[STATUS]]="PERDIDO","PERDIDO",IF(VEND[[#This Row],[STATUS]]="EN ESPERA","EN ESPERA")))</f>
        <v>EN ESPERA</v>
      </c>
      <c r="U365" s="57" t="s">
        <v>23</v>
      </c>
      <c r="V365" s="57" t="s">
        <v>23</v>
      </c>
      <c r="W365" s="55" t="s">
        <v>1401</v>
      </c>
      <c r="X365" s="112"/>
    </row>
    <row r="366" spans="2:24" ht="15.75" x14ac:dyDescent="0.25">
      <c r="B366" s="71">
        <v>44320</v>
      </c>
      <c r="C366" s="71" t="str">
        <f>TEXT(VEND[[#This Row],[Fecha de Envío
Cotización]],"mmmm")</f>
        <v>mayo</v>
      </c>
      <c r="D366" s="66" t="s">
        <v>1163</v>
      </c>
      <c r="E366" s="125" t="s">
        <v>88</v>
      </c>
      <c r="F366" s="125" t="str">
        <f>IF(VEND[[#This Row],[STATUS]]="PERDIDO","N/A","En espera")</f>
        <v>En espera</v>
      </c>
      <c r="G366" s="125" t="str">
        <f>TEXT(VEND[[#This Row],[Fecha Recibe
O.C]],"mmmm")</f>
        <v>En espera</v>
      </c>
      <c r="H366" s="112">
        <v>28</v>
      </c>
      <c r="I366" s="112" t="s">
        <v>1242</v>
      </c>
      <c r="J366" s="112"/>
      <c r="K366" s="58">
        <v>6</v>
      </c>
      <c r="L366" s="123">
        <v>42011</v>
      </c>
      <c r="M366" s="112"/>
      <c r="N366" s="112"/>
      <c r="O366" s="212" t="str">
        <f>IF(VEND[[#This Row],[STATUS]]="O.C",(VEND[[#This Row],[Fecha Recibe
O.C]]+VEND[[#This Row],[Dias
entrega ]]),"")</f>
        <v/>
      </c>
      <c r="P366" s="212"/>
      <c r="Q366" s="58" t="str">
        <f>IFERROR(VEND[[#This Row],[Fecha de Despacho]]-VEND[[#This Row],[Fecha Estimada de Entrega a  Cliente]],"")</f>
        <v/>
      </c>
      <c r="R3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6" s="112" t="str">
        <f>IF(VEND[[#This Row],[STATUS]]="O.C","APROBADO",IF(VEND[[#This Row],[STATUS]]="PERDIDO","PERDIDO",IF(VEND[[#This Row],[STATUS]]="EN ESPERA","EN ESPERA")))</f>
        <v>EN ESPERA</v>
      </c>
      <c r="T366" s="112" t="str">
        <f>IF(VEND[[#This Row],[STATUS]]="O.C","APROBADO",IF(VEND[[#This Row],[STATUS]]="PERDIDO","PERDIDO",IF(VEND[[#This Row],[STATUS]]="EN ESPERA","EN ESPERA")))</f>
        <v>EN ESPERA</v>
      </c>
      <c r="U366" s="57" t="s">
        <v>23</v>
      </c>
      <c r="V366" s="57" t="s">
        <v>23</v>
      </c>
      <c r="W366" s="55" t="s">
        <v>1401</v>
      </c>
      <c r="X366" s="112"/>
    </row>
    <row r="367" spans="2:24" ht="15.75" x14ac:dyDescent="0.25">
      <c r="B367" s="71">
        <v>44320</v>
      </c>
      <c r="C367" s="71" t="str">
        <f>TEXT(VEND[[#This Row],[Fecha de Envío
Cotización]],"mmmm")</f>
        <v>mayo</v>
      </c>
      <c r="D367" s="66" t="s">
        <v>50</v>
      </c>
      <c r="E367" s="125" t="s">
        <v>88</v>
      </c>
      <c r="F367" s="125" t="str">
        <f>IF(VEND[[#This Row],[STATUS]]="PERDIDO","N/A","En espera")</f>
        <v>En espera</v>
      </c>
      <c r="G367" s="125" t="str">
        <f>TEXT(VEND[[#This Row],[Fecha Recibe
O.C]],"mmmm")</f>
        <v>En espera</v>
      </c>
      <c r="H367" s="112">
        <v>1535</v>
      </c>
      <c r="I367" s="112" t="s">
        <v>126</v>
      </c>
      <c r="J367" s="112"/>
      <c r="K367" s="58">
        <v>1</v>
      </c>
      <c r="L367" s="123">
        <v>520.85</v>
      </c>
      <c r="M367" s="112" t="s">
        <v>51</v>
      </c>
      <c r="N367" s="112">
        <v>21</v>
      </c>
      <c r="O367" s="212" t="str">
        <f>IF(VEND[[#This Row],[STATUS]]="O.C",(VEND[[#This Row],[Fecha Recibe
O.C]]+VEND[[#This Row],[Dias
entrega ]]),"")</f>
        <v/>
      </c>
      <c r="P367" s="212"/>
      <c r="Q367" s="58" t="str">
        <f>IFERROR(VEND[[#This Row],[Fecha de Despacho]]-VEND[[#This Row],[Fecha Estimada de Entrega a  Cliente]],"")</f>
        <v/>
      </c>
      <c r="R3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7" s="112" t="str">
        <f>IF(VEND[[#This Row],[STATUS]]="O.C","APROBADO",IF(VEND[[#This Row],[STATUS]]="PERDIDO","PERDIDO",IF(VEND[[#This Row],[STATUS]]="EN ESPERA","EN ESPERA")))</f>
        <v>EN ESPERA</v>
      </c>
      <c r="T367" s="112" t="str">
        <f>IF(VEND[[#This Row],[STATUS]]="O.C","APROBADO",IF(VEND[[#This Row],[STATUS]]="PERDIDO","PERDIDO",IF(VEND[[#This Row],[STATUS]]="EN ESPERA","EN ESPERA")))</f>
        <v>EN ESPERA</v>
      </c>
      <c r="U367" s="55" t="s">
        <v>23</v>
      </c>
      <c r="V367" s="55" t="s">
        <v>23</v>
      </c>
      <c r="W367" s="55" t="s">
        <v>1401</v>
      </c>
      <c r="X367" s="112"/>
    </row>
    <row r="368" spans="2:24" s="50" customFormat="1" ht="15.75" x14ac:dyDescent="0.25">
      <c r="B368" s="71">
        <v>44320</v>
      </c>
      <c r="C368" s="71" t="str">
        <f>TEXT(VEND[[#This Row],[Fecha de Envío
Cotización]],"mmmm")</f>
        <v>mayo</v>
      </c>
      <c r="D368" s="66" t="s">
        <v>50</v>
      </c>
      <c r="E368" s="125" t="s">
        <v>88</v>
      </c>
      <c r="F368" s="125" t="str">
        <f>IF(VEND[[#This Row],[STATUS]]="PERDIDO","N/A","En espera")</f>
        <v>En espera</v>
      </c>
      <c r="G368" s="125" t="str">
        <f>TEXT(VEND[[#This Row],[Fecha Recibe
O.C]],"mmmm")</f>
        <v>En espera</v>
      </c>
      <c r="H368" s="112">
        <v>1536</v>
      </c>
      <c r="I368" s="112" t="s">
        <v>33</v>
      </c>
      <c r="J368" s="112"/>
      <c r="K368" s="145">
        <v>1</v>
      </c>
      <c r="L368" s="123">
        <v>8116.69</v>
      </c>
      <c r="M368" s="112" t="s">
        <v>926</v>
      </c>
      <c r="N368" s="112">
        <v>42</v>
      </c>
      <c r="O368" s="212" t="str">
        <f>IF(VEND[[#This Row],[STATUS]]="O.C",(VEND[[#This Row],[Fecha Recibe
O.C]]+VEND[[#This Row],[Dias
entrega ]]),"")</f>
        <v/>
      </c>
      <c r="P368" s="212"/>
      <c r="Q368" s="58" t="str">
        <f>IFERROR(VEND[[#This Row],[Fecha de Despacho]]-VEND[[#This Row],[Fecha Estimada de Entrega a  Cliente]],"")</f>
        <v/>
      </c>
      <c r="R3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8" s="112" t="str">
        <f>IF(VEND[[#This Row],[STATUS]]="O.C","APROBADO",IF(VEND[[#This Row],[STATUS]]="PERDIDO","PERDIDO",IF(VEND[[#This Row],[STATUS]]="EN ESPERA","EN ESPERA")))</f>
        <v>EN ESPERA</v>
      </c>
      <c r="T368" s="112" t="str">
        <f>IF(VEND[[#This Row],[STATUS]]="O.C","APROBADO",IF(VEND[[#This Row],[STATUS]]="PERDIDO","PERDIDO",IF(VEND[[#This Row],[STATUS]]="EN ESPERA","EN ESPERA")))</f>
        <v>EN ESPERA</v>
      </c>
      <c r="U368" s="112" t="s">
        <v>23</v>
      </c>
      <c r="V368" s="112" t="s">
        <v>23</v>
      </c>
      <c r="W368" s="112" t="s">
        <v>1402</v>
      </c>
      <c r="X368" s="112"/>
    </row>
    <row r="369" spans="2:24" ht="15.75" x14ac:dyDescent="0.25">
      <c r="B369" s="71">
        <v>44320</v>
      </c>
      <c r="C369" s="71" t="str">
        <f>TEXT(VEND[[#This Row],[Fecha de Envío
Cotización]],"mmmm")</f>
        <v>mayo</v>
      </c>
      <c r="D369" s="66" t="s">
        <v>50</v>
      </c>
      <c r="E369" s="125" t="s">
        <v>88</v>
      </c>
      <c r="F369" s="125" t="str">
        <f>IF(VEND[[#This Row],[STATUS]]="PERDIDO","N/A","En espera")</f>
        <v>En espera</v>
      </c>
      <c r="G369" s="125" t="str">
        <f>TEXT(VEND[[#This Row],[Fecha Recibe
O.C]],"mmmm")</f>
        <v>En espera</v>
      </c>
      <c r="H369" s="112">
        <v>1537</v>
      </c>
      <c r="I369" s="112" t="s">
        <v>33</v>
      </c>
      <c r="J369" s="112"/>
      <c r="K369" s="145">
        <v>1</v>
      </c>
      <c r="L369" s="123">
        <v>5290.79</v>
      </c>
      <c r="M369" s="112" t="s">
        <v>926</v>
      </c>
      <c r="N369" s="112">
        <v>42</v>
      </c>
      <c r="O369" s="212" t="str">
        <f>IF(VEND[[#This Row],[STATUS]]="O.C",(VEND[[#This Row],[Fecha Recibe
O.C]]+VEND[[#This Row],[Dias
entrega ]]),"")</f>
        <v/>
      </c>
      <c r="P369" s="212"/>
      <c r="Q369" s="58" t="str">
        <f>IFERROR(VEND[[#This Row],[Fecha de Despacho]]-VEND[[#This Row],[Fecha Estimada de Entrega a  Cliente]],"")</f>
        <v/>
      </c>
      <c r="R3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69" s="112" t="str">
        <f>IF(VEND[[#This Row],[STATUS]]="O.C","APROBADO",IF(VEND[[#This Row],[STATUS]]="PERDIDO","PERDIDO",IF(VEND[[#This Row],[STATUS]]="EN ESPERA","EN ESPERA")))</f>
        <v>EN ESPERA</v>
      </c>
      <c r="T369" s="112" t="str">
        <f>IF(VEND[[#This Row],[STATUS]]="O.C","APROBADO",IF(VEND[[#This Row],[STATUS]]="PERDIDO","PERDIDO",IF(VEND[[#This Row],[STATUS]]="EN ESPERA","EN ESPERA")))</f>
        <v>EN ESPERA</v>
      </c>
      <c r="U369" s="55" t="s">
        <v>23</v>
      </c>
      <c r="V369" s="55" t="s">
        <v>23</v>
      </c>
      <c r="W369" s="112" t="s">
        <v>1402</v>
      </c>
      <c r="X369" s="112"/>
    </row>
    <row r="370" spans="2:24" ht="15.75" x14ac:dyDescent="0.25">
      <c r="B370" s="71">
        <v>44320</v>
      </c>
      <c r="C370" s="71" t="str">
        <f>TEXT(VEND[[#This Row],[Fecha de Envío
Cotización]],"mmmm")</f>
        <v>mayo</v>
      </c>
      <c r="D370" s="66" t="s">
        <v>50</v>
      </c>
      <c r="E370" s="125" t="s">
        <v>42</v>
      </c>
      <c r="F370" s="125" t="str">
        <f>IF(VEND[[#This Row],[STATUS]]="PERDIDO","N/A","En espera")</f>
        <v>N/A</v>
      </c>
      <c r="G370" s="125" t="str">
        <f>TEXT(VEND[[#This Row],[Fecha Recibe
O.C]],"mmmm")</f>
        <v>N/A</v>
      </c>
      <c r="H370" s="112">
        <v>1538</v>
      </c>
      <c r="I370" s="112" t="s">
        <v>55</v>
      </c>
      <c r="J370" s="112"/>
      <c r="K370" s="58">
        <v>4</v>
      </c>
      <c r="L370" s="123">
        <v>4709.92</v>
      </c>
      <c r="M370" s="112" t="s">
        <v>51</v>
      </c>
      <c r="N370" s="112">
        <v>21</v>
      </c>
      <c r="O370" s="212" t="str">
        <f>IF(VEND[[#This Row],[STATUS]]="O.C",(VEND[[#This Row],[Fecha Recibe
O.C]]+VEND[[#This Row],[Dias
entrega ]]),"")</f>
        <v/>
      </c>
      <c r="P370" s="212"/>
      <c r="Q370" s="58" t="str">
        <f>IFERROR(VEND[[#This Row],[Fecha de Despacho]]-VEND[[#This Row],[Fecha Estimada de Entrega a  Cliente]],"")</f>
        <v/>
      </c>
      <c r="R3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0" s="112" t="str">
        <f>IF(VEND[[#This Row],[STATUS]]="O.C","APROBADO",IF(VEND[[#This Row],[STATUS]]="PERDIDO","PERDIDO",IF(VEND[[#This Row],[STATUS]]="EN ESPERA","EN ESPERA")))</f>
        <v>PERDIDO</v>
      </c>
      <c r="T370" s="112" t="str">
        <f>IF(VEND[[#This Row],[STATUS]]="O.C","APROBADO",IF(VEND[[#This Row],[STATUS]]="PERDIDO","PERDIDO",IF(VEND[[#This Row],[STATUS]]="EN ESPERA","EN ESPERA")))</f>
        <v>PERDIDO</v>
      </c>
      <c r="U370" s="55" t="s">
        <v>23</v>
      </c>
      <c r="V370" s="55" t="s">
        <v>23</v>
      </c>
      <c r="W370" s="112" t="s">
        <v>1401</v>
      </c>
      <c r="X370" s="112"/>
    </row>
    <row r="371" spans="2:24" ht="15.75" x14ac:dyDescent="0.25">
      <c r="B371" s="71">
        <v>44320</v>
      </c>
      <c r="C371" s="71" t="str">
        <f>TEXT(VEND[[#This Row],[Fecha de Envío
Cotización]],"mmmm")</f>
        <v>mayo</v>
      </c>
      <c r="D371" s="66" t="s">
        <v>50</v>
      </c>
      <c r="E371" s="125" t="s">
        <v>88</v>
      </c>
      <c r="F371" s="92" t="str">
        <f>IF(VEND[[#This Row],[STATUS]]="PERDIDO","N/A","En espera")</f>
        <v>En espera</v>
      </c>
      <c r="G371" s="125" t="str">
        <f>TEXT(VEND[[#This Row],[Fecha Recibe
O.C]],"mmmm")</f>
        <v>En espera</v>
      </c>
      <c r="H371" s="112">
        <v>1539</v>
      </c>
      <c r="I371" s="112" t="s">
        <v>126</v>
      </c>
      <c r="J371" s="112"/>
      <c r="K371" s="58">
        <v>1</v>
      </c>
      <c r="L371" s="123">
        <v>137.38999999999999</v>
      </c>
      <c r="M371" s="112" t="s">
        <v>119</v>
      </c>
      <c r="N371" s="112">
        <v>0</v>
      </c>
      <c r="O371" s="212" t="str">
        <f>IF(VEND[[#This Row],[STATUS]]="O.C",(VEND[[#This Row],[Fecha Recibe
O.C]]+VEND[[#This Row],[Dias
entrega ]]),"")</f>
        <v/>
      </c>
      <c r="P371" s="212"/>
      <c r="Q371" s="58" t="str">
        <f>IFERROR(VEND[[#This Row],[Fecha de Despacho]]-VEND[[#This Row],[Fecha Estimada de Entrega a  Cliente]],"")</f>
        <v/>
      </c>
      <c r="R3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1" s="112" t="str">
        <f>IF(VEND[[#This Row],[STATUS]]="O.C","APROBADO",IF(VEND[[#This Row],[STATUS]]="PERDIDO","PERDIDO",IF(VEND[[#This Row],[STATUS]]="EN ESPERA","EN ESPERA")))</f>
        <v>EN ESPERA</v>
      </c>
      <c r="T371" s="112" t="str">
        <f>IF(VEND[[#This Row],[STATUS]]="O.C","APROBADO",IF(VEND[[#This Row],[STATUS]]="PERDIDO","PERDIDO",IF(VEND[[#This Row],[STATUS]]="EN ESPERA","EN ESPERA")))</f>
        <v>EN ESPERA</v>
      </c>
      <c r="U371" s="55" t="s">
        <v>23</v>
      </c>
      <c r="V371" s="55" t="s">
        <v>23</v>
      </c>
      <c r="W371" s="112" t="s">
        <v>1401</v>
      </c>
      <c r="X371" s="112"/>
    </row>
    <row r="372" spans="2:24" ht="15.75" x14ac:dyDescent="0.25">
      <c r="B372" s="71">
        <v>44320</v>
      </c>
      <c r="C372" s="71" t="str">
        <f>TEXT(VEND[[#This Row],[Fecha de Envío
Cotización]],"mmmm")</f>
        <v>mayo</v>
      </c>
      <c r="D372" s="66" t="s">
        <v>41</v>
      </c>
      <c r="E372" s="125" t="s">
        <v>42</v>
      </c>
      <c r="F372" s="125" t="str">
        <f>IF(VEND[[#This Row],[STATUS]]="PERDIDO","N/A","En espera")</f>
        <v>N/A</v>
      </c>
      <c r="G372" s="125" t="str">
        <f>TEXT(VEND[[#This Row],[Fecha Recibe
O.C]],"mmmm")</f>
        <v>N/A</v>
      </c>
      <c r="H372" s="112">
        <v>3509</v>
      </c>
      <c r="I372" s="112" t="s">
        <v>306</v>
      </c>
      <c r="J372" s="112"/>
      <c r="K372" s="58">
        <v>2</v>
      </c>
      <c r="L372" s="123">
        <v>21797.759999999998</v>
      </c>
      <c r="M372" s="112" t="s">
        <v>1256</v>
      </c>
      <c r="N372" s="112">
        <v>70</v>
      </c>
      <c r="O372" s="212" t="str">
        <f>IF(VEND[[#This Row],[STATUS]]="O.C",(VEND[[#This Row],[Fecha Recibe
O.C]]+VEND[[#This Row],[Dias
entrega ]]),"")</f>
        <v/>
      </c>
      <c r="P372" s="212"/>
      <c r="Q372" s="58" t="str">
        <f>IFERROR(VEND[[#This Row],[Fecha de Despacho]]-VEND[[#This Row],[Fecha Estimada de Entrega a  Cliente]],"")</f>
        <v/>
      </c>
      <c r="R3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2" s="112" t="str">
        <f>IF(VEND[[#This Row],[STATUS]]="O.C","APROBADO",IF(VEND[[#This Row],[STATUS]]="PERDIDO","PERDIDO",IF(VEND[[#This Row],[STATUS]]="EN ESPERA","EN ESPERA")))</f>
        <v>PERDIDO</v>
      </c>
      <c r="T372" s="112" t="str">
        <f>IF(VEND[[#This Row],[STATUS]]="O.C","APROBADO",IF(VEND[[#This Row],[STATUS]]="PERDIDO","PERDIDO",IF(VEND[[#This Row],[STATUS]]="EN ESPERA","EN ESPERA")))</f>
        <v>PERDIDO</v>
      </c>
      <c r="U372" s="112" t="s">
        <v>23</v>
      </c>
      <c r="V372" s="112" t="s">
        <v>23</v>
      </c>
      <c r="W372" s="55" t="s">
        <v>1407</v>
      </c>
      <c r="X372" s="112"/>
    </row>
    <row r="373" spans="2:24" ht="15.75" x14ac:dyDescent="0.25">
      <c r="B373" s="71">
        <v>44320</v>
      </c>
      <c r="C373" s="71" t="str">
        <f>TEXT(VEND[[#This Row],[Fecha de Envío
Cotización]],"mmmm")</f>
        <v>mayo</v>
      </c>
      <c r="D373" s="66" t="s">
        <v>1163</v>
      </c>
      <c r="E373" s="125" t="s">
        <v>88</v>
      </c>
      <c r="F373" s="92" t="str">
        <f>IF(VEND[[#This Row],[STATUS]]="PERDIDO","N/A","En espera")</f>
        <v>En espera</v>
      </c>
      <c r="G373" s="125" t="str">
        <f>TEXT(VEND[[#This Row],[Fecha Recibe
O.C]],"mmmm")</f>
        <v>En espera</v>
      </c>
      <c r="H373" s="112">
        <v>4542</v>
      </c>
      <c r="I373" s="112" t="s">
        <v>1242</v>
      </c>
      <c r="J373" s="112"/>
      <c r="K373" s="58">
        <v>1</v>
      </c>
      <c r="L373" s="123">
        <v>4642.67</v>
      </c>
      <c r="M373" s="112"/>
      <c r="N373" s="112"/>
      <c r="O373" s="212" t="str">
        <f>IF(VEND[[#This Row],[STATUS]]="O.C",(VEND[[#This Row],[Fecha Recibe
O.C]]+VEND[[#This Row],[Dias
entrega ]]),"")</f>
        <v/>
      </c>
      <c r="P373" s="212"/>
      <c r="Q373" s="58" t="str">
        <f>IFERROR(VEND[[#This Row],[Fecha de Despacho]]-VEND[[#This Row],[Fecha Estimada de Entrega a  Cliente]],"")</f>
        <v/>
      </c>
      <c r="R3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3" s="112" t="str">
        <f>IF(VEND[[#This Row],[STATUS]]="O.C","APROBADO",IF(VEND[[#This Row],[STATUS]]="PERDIDO","PERDIDO",IF(VEND[[#This Row],[STATUS]]="EN ESPERA","EN ESPERA")))</f>
        <v>EN ESPERA</v>
      </c>
      <c r="T373" s="112" t="str">
        <f>IF(VEND[[#This Row],[STATUS]]="O.C","APROBADO",IF(VEND[[#This Row],[STATUS]]="PERDIDO","PERDIDO",IF(VEND[[#This Row],[STATUS]]="EN ESPERA","EN ESPERA")))</f>
        <v>EN ESPERA</v>
      </c>
      <c r="U373" s="57" t="s">
        <v>23</v>
      </c>
      <c r="V373" s="57" t="s">
        <v>23</v>
      </c>
      <c r="W373" s="55" t="s">
        <v>1401</v>
      </c>
      <c r="X373" s="112"/>
    </row>
    <row r="374" spans="2:24" ht="15.75" x14ac:dyDescent="0.25">
      <c r="B374" s="232">
        <v>44320</v>
      </c>
      <c r="C374" s="71" t="str">
        <f>TEXT(VEND[[#This Row],[Fecha de Envío
Cotización]],"mmmm")</f>
        <v>mayo</v>
      </c>
      <c r="D374" s="66" t="s">
        <v>1163</v>
      </c>
      <c r="E374" s="125" t="s">
        <v>83</v>
      </c>
      <c r="F374" s="125">
        <v>44327</v>
      </c>
      <c r="G374" s="125" t="str">
        <f>TEXT(VEND[[#This Row],[Fecha Recibe
O.C]],"mmmm")</f>
        <v>mayo</v>
      </c>
      <c r="H374" s="112">
        <v>4543</v>
      </c>
      <c r="I374" s="112" t="s">
        <v>1241</v>
      </c>
      <c r="J374" s="112"/>
      <c r="K374" s="58">
        <v>1</v>
      </c>
      <c r="L374" s="123">
        <v>868.38</v>
      </c>
      <c r="M374" s="112" t="s">
        <v>16</v>
      </c>
      <c r="N374" s="112">
        <v>21</v>
      </c>
      <c r="O374" s="212">
        <f>IF(VEND[[#This Row],[STATUS]]="O.C",(VEND[[#This Row],[Fecha Recibe
O.C]]+VEND[[#This Row],[Dias
entrega ]]),"")</f>
        <v>44348</v>
      </c>
      <c r="P374" s="212"/>
      <c r="Q374" s="58">
        <f>IFERROR(VEND[[#This Row],[Fecha de Despacho]]-VEND[[#This Row],[Fecha Estimada de Entrega a  Cliente]],"")</f>
        <v>-44348</v>
      </c>
      <c r="R3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4" s="112" t="str">
        <f>IF(VEND[[#This Row],[STATUS]]="O.C","APROBADO",IF(VEND[[#This Row],[STATUS]]="PERDIDO","PERDIDO",IF(VEND[[#This Row],[STATUS]]="EN ESPERA","EN ESPERA")))</f>
        <v>APROBADO</v>
      </c>
      <c r="T374" s="112" t="str">
        <f>IF(VEND[[#This Row],[STATUS]]="O.C","APROBADO",IF(VEND[[#This Row],[STATUS]]="PERDIDO","PERDIDO",IF(VEND[[#This Row],[STATUS]]="EN ESPERA","EN ESPERA")))</f>
        <v>APROBADO</v>
      </c>
      <c r="U374" s="112" t="s">
        <v>46</v>
      </c>
      <c r="V374" s="112" t="s">
        <v>46</v>
      </c>
      <c r="W374" s="55" t="s">
        <v>1409</v>
      </c>
      <c r="X374" s="112" t="s">
        <v>2273</v>
      </c>
    </row>
    <row r="375" spans="2:24" ht="15.75" x14ac:dyDescent="0.25">
      <c r="B375" s="71">
        <v>44320</v>
      </c>
      <c r="C375" s="71" t="str">
        <f>TEXT(VEND[[#This Row],[Fecha de Envío
Cotización]],"mmmm")</f>
        <v>mayo</v>
      </c>
      <c r="D375" s="66" t="s">
        <v>1163</v>
      </c>
      <c r="E375" s="125" t="s">
        <v>88</v>
      </c>
      <c r="F375" s="125" t="str">
        <f>IF(VEND[[#This Row],[STATUS]]="PERDIDO","N/A","En espera")</f>
        <v>En espera</v>
      </c>
      <c r="G375" s="125" t="str">
        <f>TEXT(VEND[[#This Row],[Fecha Recibe
O.C]],"mmmm")</f>
        <v>En espera</v>
      </c>
      <c r="H375" s="112">
        <v>4544</v>
      </c>
      <c r="I375" s="55" t="s">
        <v>1241</v>
      </c>
      <c r="J375" s="112"/>
      <c r="K375" s="58">
        <v>1</v>
      </c>
      <c r="L375" s="123">
        <v>11730.04</v>
      </c>
      <c r="M375" s="112"/>
      <c r="N375" s="112"/>
      <c r="O375" s="212" t="str">
        <f>IF(VEND[[#This Row],[STATUS]]="O.C",(VEND[[#This Row],[Fecha Recibe
O.C]]+VEND[[#This Row],[Dias
entrega ]]),"")</f>
        <v/>
      </c>
      <c r="P375" s="212"/>
      <c r="Q375" s="58" t="str">
        <f>IFERROR(VEND[[#This Row],[Fecha de Despacho]]-VEND[[#This Row],[Fecha Estimada de Entrega a  Cliente]],"")</f>
        <v/>
      </c>
      <c r="R3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5" s="112" t="str">
        <f>IF(VEND[[#This Row],[STATUS]]="O.C","APROBADO",IF(VEND[[#This Row],[STATUS]]="PERDIDO","PERDIDO",IF(VEND[[#This Row],[STATUS]]="EN ESPERA","EN ESPERA")))</f>
        <v>EN ESPERA</v>
      </c>
      <c r="T375" s="112" t="str">
        <f>IF(VEND[[#This Row],[STATUS]]="O.C","APROBADO",IF(VEND[[#This Row],[STATUS]]="PERDIDO","PERDIDO",IF(VEND[[#This Row],[STATUS]]="EN ESPERA","EN ESPERA")))</f>
        <v>EN ESPERA</v>
      </c>
      <c r="U375" s="57" t="s">
        <v>23</v>
      </c>
      <c r="V375" s="57" t="s">
        <v>23</v>
      </c>
      <c r="W375" s="55" t="s">
        <v>1409</v>
      </c>
      <c r="X375" s="112"/>
    </row>
    <row r="376" spans="2:24" ht="15.75" x14ac:dyDescent="0.25">
      <c r="B376" s="232">
        <v>44320</v>
      </c>
      <c r="C376" s="71" t="str">
        <f>TEXT(VEND[[#This Row],[Fecha de Envío
Cotización]],"mmmm")</f>
        <v>mayo</v>
      </c>
      <c r="D376" s="66" t="s">
        <v>1163</v>
      </c>
      <c r="E376" s="125" t="s">
        <v>83</v>
      </c>
      <c r="F376" s="92">
        <v>44333</v>
      </c>
      <c r="G376" s="125" t="str">
        <f>TEXT(VEND[[#This Row],[Fecha Recibe
O.C]],"mmmm")</f>
        <v>mayo</v>
      </c>
      <c r="H376" s="112">
        <v>4546</v>
      </c>
      <c r="I376" s="112" t="s">
        <v>1241</v>
      </c>
      <c r="J376" s="112"/>
      <c r="K376" s="58">
        <v>3</v>
      </c>
      <c r="L376" s="123">
        <v>1227.06</v>
      </c>
      <c r="M376" s="112"/>
      <c r="N376" s="112"/>
      <c r="O376" s="212">
        <f>IF(VEND[[#This Row],[STATUS]]="O.C",(VEND[[#This Row],[Fecha Recibe
O.C]]+VEND[[#This Row],[Dias
entrega ]]),"")</f>
        <v>44333</v>
      </c>
      <c r="P376" s="212"/>
      <c r="Q376" s="58">
        <f>IFERROR(VEND[[#This Row],[Fecha de Despacho]]-VEND[[#This Row],[Fecha Estimada de Entrega a  Cliente]],"")</f>
        <v>-44333</v>
      </c>
      <c r="R3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6" s="112" t="str">
        <f>IF(VEND[[#This Row],[STATUS]]="O.C","APROBADO",IF(VEND[[#This Row],[STATUS]]="PERDIDO","PERDIDO",IF(VEND[[#This Row],[STATUS]]="EN ESPERA","EN ESPERA")))</f>
        <v>APROBADO</v>
      </c>
      <c r="T376" s="112" t="str">
        <f>IF(VEND[[#This Row],[STATUS]]="O.C","APROBADO",IF(VEND[[#This Row],[STATUS]]="PERDIDO","PERDIDO",IF(VEND[[#This Row],[STATUS]]="EN ESPERA","EN ESPERA")))</f>
        <v>APROBADO</v>
      </c>
      <c r="U376" s="112" t="s">
        <v>46</v>
      </c>
      <c r="V376" s="112" t="s">
        <v>46</v>
      </c>
      <c r="W376" s="55" t="s">
        <v>1409</v>
      </c>
      <c r="X376" s="112" t="s">
        <v>1472</v>
      </c>
    </row>
    <row r="377" spans="2:24" ht="15.75" x14ac:dyDescent="0.25">
      <c r="B377" s="234">
        <v>44320</v>
      </c>
      <c r="C377" s="70" t="str">
        <f>TEXT(VEND[[#This Row],[Fecha de Envío
Cotización]],"mmmm")</f>
        <v>mayo</v>
      </c>
      <c r="D377" s="66" t="s">
        <v>1163</v>
      </c>
      <c r="E377" s="125" t="s">
        <v>83</v>
      </c>
      <c r="F377" s="125">
        <v>44330</v>
      </c>
      <c r="G377" s="125" t="str">
        <f>TEXT(VEND[[#This Row],[Fecha Recibe
O.C]],"mmmm")</f>
        <v>mayo</v>
      </c>
      <c r="H377" s="112">
        <v>4546</v>
      </c>
      <c r="I377" s="112" t="s">
        <v>1241</v>
      </c>
      <c r="J377" s="112"/>
      <c r="K377" s="64">
        <v>3</v>
      </c>
      <c r="L377" s="123">
        <v>234.09</v>
      </c>
      <c r="M377" s="112"/>
      <c r="N377" s="112"/>
      <c r="O377" s="212">
        <f>IF(VEND[[#This Row],[STATUS]]="O.C",(VEND[[#This Row],[Fecha Recibe
O.C]]+VEND[[#This Row],[Dias
entrega ]]),"")</f>
        <v>44330</v>
      </c>
      <c r="P377" s="214"/>
      <c r="Q377" s="64">
        <f>IFERROR(VEND[[#This Row],[Fecha de Despacho]]-VEND[[#This Row],[Fecha Estimada de Entrega a  Cliente]],"")</f>
        <v>-44330</v>
      </c>
      <c r="R3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7" s="112" t="str">
        <f>IF(VEND[[#This Row],[STATUS]]="O.C","APROBADO",IF(VEND[[#This Row],[STATUS]]="PERDIDO","PERDIDO",IF(VEND[[#This Row],[STATUS]]="EN ESPERA","EN ESPERA")))</f>
        <v>APROBADO</v>
      </c>
      <c r="T377" s="112" t="str">
        <f>IF(VEND[[#This Row],[STATUS]]="O.C","APROBADO",IF(VEND[[#This Row],[STATUS]]="PERDIDO","PERDIDO",IF(VEND[[#This Row],[STATUS]]="EN ESPERA","EN ESPERA")))</f>
        <v>APROBADO</v>
      </c>
      <c r="U377" s="112" t="s">
        <v>46</v>
      </c>
      <c r="V377" s="112" t="s">
        <v>46</v>
      </c>
      <c r="W377" s="55" t="s">
        <v>1409</v>
      </c>
      <c r="X377" s="112" t="s">
        <v>1471</v>
      </c>
    </row>
    <row r="378" spans="2:24" ht="15.75" x14ac:dyDescent="0.25">
      <c r="B378" s="71">
        <v>44320</v>
      </c>
      <c r="C378" s="71" t="str">
        <f>TEXT(VEND[[#This Row],[Fecha de Envío
Cotización]],"mmmm")</f>
        <v>mayo</v>
      </c>
      <c r="D378" s="66" t="s">
        <v>945</v>
      </c>
      <c r="E378" s="125" t="s">
        <v>88</v>
      </c>
      <c r="F378" s="125" t="str">
        <f>IF(VEND[[#This Row],[STATUS]]="PERDIDO","N/A","En espera")</f>
        <v>En espera</v>
      </c>
      <c r="G378" s="125" t="str">
        <f>TEXT(VEND[[#This Row],[Fecha Recibe
O.C]],"mmmm")</f>
        <v>En espera</v>
      </c>
      <c r="H378" s="112">
        <v>6013</v>
      </c>
      <c r="I378" s="112" t="s">
        <v>31</v>
      </c>
      <c r="J378" s="112"/>
      <c r="K378" s="58">
        <v>1</v>
      </c>
      <c r="L378" s="123">
        <v>608.66</v>
      </c>
      <c r="M378" s="112" t="s">
        <v>1142</v>
      </c>
      <c r="N378" s="112">
        <v>84</v>
      </c>
      <c r="O378" s="212" t="str">
        <f>IF(VEND[[#This Row],[STATUS]]="O.C",(VEND[[#This Row],[Fecha Recibe
O.C]]+VEND[[#This Row],[Dias
entrega ]]),"")</f>
        <v/>
      </c>
      <c r="P378" s="212"/>
      <c r="Q378" s="58" t="str">
        <f>IFERROR(VEND[[#This Row],[Fecha de Despacho]]-VEND[[#This Row],[Fecha Estimada de Entrega a  Cliente]],"")</f>
        <v/>
      </c>
      <c r="R3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8" s="112" t="str">
        <f>IF(VEND[[#This Row],[STATUS]]="O.C","APROBADO",IF(VEND[[#This Row],[STATUS]]="PERDIDO","PERDIDO",IF(VEND[[#This Row],[STATUS]]="EN ESPERA","EN ESPERA")))</f>
        <v>EN ESPERA</v>
      </c>
      <c r="T378" s="112" t="str">
        <f>IF(VEND[[#This Row],[STATUS]]="O.C","APROBADO",IF(VEND[[#This Row],[STATUS]]="PERDIDO","PERDIDO",IF(VEND[[#This Row],[STATUS]]="EN ESPERA","EN ESPERA")))</f>
        <v>EN ESPERA</v>
      </c>
      <c r="U378" s="55" t="s">
        <v>23</v>
      </c>
      <c r="V378" s="55" t="s">
        <v>23</v>
      </c>
      <c r="W378" s="55" t="s">
        <v>1410</v>
      </c>
      <c r="X378" s="112"/>
    </row>
    <row r="379" spans="2:24" s="105" customFormat="1" ht="15.75" x14ac:dyDescent="0.25">
      <c r="B379" s="71">
        <v>44320</v>
      </c>
      <c r="C379" s="71" t="str">
        <f>TEXT(VEND[[#This Row],[Fecha de Envío
Cotización]],"mmmm")</f>
        <v>mayo</v>
      </c>
      <c r="D379" s="66" t="s">
        <v>945</v>
      </c>
      <c r="E379" s="125" t="s">
        <v>88</v>
      </c>
      <c r="F379" s="125" t="str">
        <f>IF(VEND[[#This Row],[STATUS]]="PERDIDO","N/A","En espera")</f>
        <v>En espera</v>
      </c>
      <c r="G379" s="125" t="str">
        <f>TEXT(VEND[[#This Row],[Fecha Recibe
O.C]],"mmmm")</f>
        <v>En espera</v>
      </c>
      <c r="H379" s="112">
        <v>6014</v>
      </c>
      <c r="I379" s="112" t="s">
        <v>31</v>
      </c>
      <c r="J379" s="112"/>
      <c r="K379" s="58">
        <v>1</v>
      </c>
      <c r="L379" s="123">
        <v>902.37</v>
      </c>
      <c r="M379" s="112" t="s">
        <v>119</v>
      </c>
      <c r="N379" s="112">
        <v>0</v>
      </c>
      <c r="O379" s="212" t="str">
        <f>IF(VEND[[#This Row],[STATUS]]="O.C",(VEND[[#This Row],[Fecha Recibe
O.C]]+VEND[[#This Row],[Dias
entrega ]]),"")</f>
        <v/>
      </c>
      <c r="P379" s="212"/>
      <c r="Q379" s="58" t="str">
        <f>IFERROR(VEND[[#This Row],[Fecha de Despacho]]-VEND[[#This Row],[Fecha Estimada de Entrega a  Cliente]],"")</f>
        <v/>
      </c>
      <c r="R3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79" s="112" t="str">
        <f>IF(VEND[[#This Row],[STATUS]]="O.C","APROBADO",IF(VEND[[#This Row],[STATUS]]="PERDIDO","PERDIDO",IF(VEND[[#This Row],[STATUS]]="EN ESPERA","EN ESPERA")))</f>
        <v>EN ESPERA</v>
      </c>
      <c r="T379" s="112" t="str">
        <f>IF(VEND[[#This Row],[STATUS]]="O.C","APROBADO",IF(VEND[[#This Row],[STATUS]]="PERDIDO","PERDIDO",IF(VEND[[#This Row],[STATUS]]="EN ESPERA","EN ESPERA")))</f>
        <v>EN ESPERA</v>
      </c>
      <c r="U379" s="112" t="s">
        <v>23</v>
      </c>
      <c r="V379" s="112" t="s">
        <v>23</v>
      </c>
      <c r="W379" s="112" t="s">
        <v>1410</v>
      </c>
      <c r="X379" s="112"/>
    </row>
    <row r="380" spans="2:24" ht="15.75" x14ac:dyDescent="0.25">
      <c r="B380" s="70">
        <v>44320</v>
      </c>
      <c r="C380" s="70" t="str">
        <f>TEXT(VEND[[#This Row],[Fecha de Envío
Cotización]],"mmmm")</f>
        <v>mayo</v>
      </c>
      <c r="D380" s="66" t="s">
        <v>945</v>
      </c>
      <c r="E380" s="125" t="s">
        <v>42</v>
      </c>
      <c r="F380" s="125" t="str">
        <f>IF(VEND[[#This Row],[STATUS]]="PERDIDO","N/A","En espera")</f>
        <v>N/A</v>
      </c>
      <c r="G380" s="125" t="str">
        <f>TEXT(VEND[[#This Row],[Fecha Recibe
O.C]],"mmmm")</f>
        <v>N/A</v>
      </c>
      <c r="H380" s="112">
        <v>20165</v>
      </c>
      <c r="I380" s="112" t="s">
        <v>1259</v>
      </c>
      <c r="J380" s="112"/>
      <c r="K380" s="64">
        <v>6</v>
      </c>
      <c r="L380" s="123">
        <v>14893.6</v>
      </c>
      <c r="M380" s="55" t="s">
        <v>22</v>
      </c>
      <c r="N380" s="112">
        <v>0</v>
      </c>
      <c r="O380" s="212" t="str">
        <f>IF(VEND[[#This Row],[STATUS]]="O.C",(VEND[[#This Row],[Fecha Recibe
O.C]]+VEND[[#This Row],[Dias
entrega ]]),"")</f>
        <v/>
      </c>
      <c r="P380" s="214"/>
      <c r="Q380" s="64" t="str">
        <f>IFERROR(VEND[[#This Row],[Fecha de Despacho]]-VEND[[#This Row],[Fecha Estimada de Entrega a  Cliente]],"")</f>
        <v/>
      </c>
      <c r="R3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0" s="112" t="str">
        <f>IF(VEND[[#This Row],[STATUS]]="O.C","APROBADO",IF(VEND[[#This Row],[STATUS]]="PERDIDO","PERDIDO",IF(VEND[[#This Row],[STATUS]]="EN ESPERA","EN ESPERA")))</f>
        <v>PERDIDO</v>
      </c>
      <c r="T380" s="112" t="str">
        <f>IF(VEND[[#This Row],[STATUS]]="O.C","APROBADO",IF(VEND[[#This Row],[STATUS]]="PERDIDO","PERDIDO",IF(VEND[[#This Row],[STATUS]]="EN ESPERA","EN ESPERA")))</f>
        <v>PERDIDO</v>
      </c>
      <c r="U380" s="55" t="s">
        <v>23</v>
      </c>
      <c r="V380" s="55" t="s">
        <v>23</v>
      </c>
      <c r="W380" s="55" t="s">
        <v>1406</v>
      </c>
      <c r="X380" s="57"/>
    </row>
    <row r="381" spans="2:24" ht="15.75" x14ac:dyDescent="0.25">
      <c r="B381" s="71">
        <v>44321</v>
      </c>
      <c r="C381" s="71" t="str">
        <f>TEXT(VEND[[#This Row],[Fecha de Envío
Cotización]],"mmmm")</f>
        <v>mayo</v>
      </c>
      <c r="D381" s="66" t="s">
        <v>50</v>
      </c>
      <c r="E381" s="125" t="s">
        <v>88</v>
      </c>
      <c r="F381" s="125" t="str">
        <f>IF(VEND[[#This Row],[STATUS]]="PERDIDO","N/A","En espera")</f>
        <v>En espera</v>
      </c>
      <c r="G381" s="125" t="str">
        <f>TEXT(VEND[[#This Row],[Fecha Recibe
O.C]],"mmmm")</f>
        <v>En espera</v>
      </c>
      <c r="H381" s="112">
        <v>1541</v>
      </c>
      <c r="I381" s="112" t="s">
        <v>1109</v>
      </c>
      <c r="J381" s="112"/>
      <c r="K381" s="58">
        <v>1</v>
      </c>
      <c r="L381" s="123">
        <v>904.81</v>
      </c>
      <c r="M381" s="112" t="s">
        <v>134</v>
      </c>
      <c r="N381" s="112">
        <v>28</v>
      </c>
      <c r="O381" s="212" t="str">
        <f>IF(VEND[[#This Row],[STATUS]]="O.C",(VEND[[#This Row],[Fecha Recibe
O.C]]+VEND[[#This Row],[Dias
entrega ]]),"")</f>
        <v/>
      </c>
      <c r="P381" s="212"/>
      <c r="Q381" s="58" t="str">
        <f>IFERROR(VEND[[#This Row],[Fecha de Despacho]]-VEND[[#This Row],[Fecha Estimada de Entrega a  Cliente]],"")</f>
        <v/>
      </c>
      <c r="R3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1" s="112" t="str">
        <f>IF(VEND[[#This Row],[STATUS]]="O.C","APROBADO",IF(VEND[[#This Row],[STATUS]]="PERDIDO","PERDIDO",IF(VEND[[#This Row],[STATUS]]="EN ESPERA","EN ESPERA")))</f>
        <v>EN ESPERA</v>
      </c>
      <c r="T381" s="112" t="str">
        <f>IF(VEND[[#This Row],[STATUS]]="O.C","APROBADO",IF(VEND[[#This Row],[STATUS]]="PERDIDO","PERDIDO",IF(VEND[[#This Row],[STATUS]]="EN ESPERA","EN ESPERA")))</f>
        <v>EN ESPERA</v>
      </c>
      <c r="U381" s="55" t="s">
        <v>23</v>
      </c>
      <c r="V381" s="55" t="s">
        <v>23</v>
      </c>
      <c r="W381" s="55" t="s">
        <v>1401</v>
      </c>
      <c r="X381" s="112"/>
    </row>
    <row r="382" spans="2:24" ht="15.75" x14ac:dyDescent="0.25">
      <c r="B382" s="71">
        <v>44321</v>
      </c>
      <c r="C382" s="71" t="str">
        <f>TEXT(VEND[[#This Row],[Fecha de Envío
Cotización]],"mmmm")</f>
        <v>mayo</v>
      </c>
      <c r="D382" s="66" t="s">
        <v>50</v>
      </c>
      <c r="E382" s="125" t="s">
        <v>88</v>
      </c>
      <c r="F382" s="125" t="str">
        <f>IF(VEND[[#This Row],[STATUS]]="PERDIDO","N/A","En espera")</f>
        <v>En espera</v>
      </c>
      <c r="G382" s="125" t="str">
        <f>TEXT(VEND[[#This Row],[Fecha Recibe
O.C]],"mmmm")</f>
        <v>En espera</v>
      </c>
      <c r="H382" s="112">
        <v>1542</v>
      </c>
      <c r="I382" s="57" t="s">
        <v>283</v>
      </c>
      <c r="J382" s="112"/>
      <c r="K382" s="58">
        <v>1</v>
      </c>
      <c r="L382" s="123">
        <v>2136.4</v>
      </c>
      <c r="M382" s="112" t="s">
        <v>134</v>
      </c>
      <c r="N382" s="112">
        <v>28</v>
      </c>
      <c r="O382" s="212" t="str">
        <f>IF(VEND[[#This Row],[STATUS]]="O.C",(VEND[[#This Row],[Fecha Recibe
O.C]]+VEND[[#This Row],[Dias
entrega ]]),"")</f>
        <v/>
      </c>
      <c r="P382" s="212"/>
      <c r="Q382" s="58" t="str">
        <f>IFERROR(VEND[[#This Row],[Fecha de Despacho]]-VEND[[#This Row],[Fecha Estimada de Entrega a  Cliente]],"")</f>
        <v/>
      </c>
      <c r="R3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2" s="112" t="str">
        <f>IF(VEND[[#This Row],[STATUS]]="O.C","APROBADO",IF(VEND[[#This Row],[STATUS]]="PERDIDO","PERDIDO",IF(VEND[[#This Row],[STATUS]]="EN ESPERA","EN ESPERA")))</f>
        <v>EN ESPERA</v>
      </c>
      <c r="T382" s="112" t="str">
        <f>IF(VEND[[#This Row],[STATUS]]="O.C","APROBADO",IF(VEND[[#This Row],[STATUS]]="PERDIDO","PERDIDO",IF(VEND[[#This Row],[STATUS]]="EN ESPERA","EN ESPERA")))</f>
        <v>EN ESPERA</v>
      </c>
      <c r="U382" s="112" t="s">
        <v>23</v>
      </c>
      <c r="V382" s="112" t="s">
        <v>23</v>
      </c>
      <c r="W382" s="55" t="s">
        <v>1402</v>
      </c>
      <c r="X382" s="112"/>
    </row>
    <row r="383" spans="2:24" ht="15.75" x14ac:dyDescent="0.25">
      <c r="B383" s="71">
        <v>44321</v>
      </c>
      <c r="C383" s="71" t="str">
        <f>TEXT(VEND[[#This Row],[Fecha de Envío
Cotización]],"mmmm")</f>
        <v>mayo</v>
      </c>
      <c r="D383" s="69" t="s">
        <v>50</v>
      </c>
      <c r="E383" s="125" t="s">
        <v>88</v>
      </c>
      <c r="F383" s="125" t="str">
        <f>IF(VEND[[#This Row],[STATUS]]="PERDIDO","N/A","En espera")</f>
        <v>En espera</v>
      </c>
      <c r="G383" s="125" t="str">
        <f>TEXT(VEND[[#This Row],[Fecha Recibe
O.C]],"mmmm")</f>
        <v>En espera</v>
      </c>
      <c r="H383" s="112">
        <v>1543</v>
      </c>
      <c r="I383" s="112" t="s">
        <v>123</v>
      </c>
      <c r="J383" s="57"/>
      <c r="K383" s="64">
        <v>1</v>
      </c>
      <c r="L383" s="123">
        <v>918.79</v>
      </c>
      <c r="M383" s="57" t="s">
        <v>51</v>
      </c>
      <c r="N383" s="112">
        <v>21</v>
      </c>
      <c r="O383" s="212" t="str">
        <f>IF(VEND[[#This Row],[STATUS]]="O.C",(VEND[[#This Row],[Fecha Recibe
O.C]]+VEND[[#This Row],[Dias
entrega ]]),"")</f>
        <v/>
      </c>
      <c r="P383" s="214"/>
      <c r="Q383" s="64" t="str">
        <f>IFERROR(VEND[[#This Row],[Fecha de Despacho]]-VEND[[#This Row],[Fecha Estimada de Entrega a  Cliente]],"")</f>
        <v/>
      </c>
      <c r="R3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3" s="112" t="str">
        <f>IF(VEND[[#This Row],[STATUS]]="O.C","APROBADO",IF(VEND[[#This Row],[STATUS]]="PERDIDO","PERDIDO",IF(VEND[[#This Row],[STATUS]]="EN ESPERA","EN ESPERA")))</f>
        <v>EN ESPERA</v>
      </c>
      <c r="T383" s="112" t="str">
        <f>IF(VEND[[#This Row],[STATUS]]="O.C","APROBADO",IF(VEND[[#This Row],[STATUS]]="PERDIDO","PERDIDO",IF(VEND[[#This Row],[STATUS]]="EN ESPERA","EN ESPERA")))</f>
        <v>EN ESPERA</v>
      </c>
      <c r="U383" s="57" t="s">
        <v>23</v>
      </c>
      <c r="V383" s="57" t="s">
        <v>23</v>
      </c>
      <c r="W383" s="112" t="s">
        <v>1401</v>
      </c>
      <c r="X383" s="57"/>
    </row>
    <row r="384" spans="2:24" ht="15.75" x14ac:dyDescent="0.25">
      <c r="B384" s="71">
        <v>44321</v>
      </c>
      <c r="C384" s="71" t="str">
        <f>TEXT(VEND[[#This Row],[Fecha de Envío
Cotización]],"mmmm")</f>
        <v>mayo</v>
      </c>
      <c r="D384" s="66" t="s">
        <v>41</v>
      </c>
      <c r="E384" s="125" t="s">
        <v>83</v>
      </c>
      <c r="F384" s="125">
        <v>44323</v>
      </c>
      <c r="G384" s="125" t="str">
        <f>TEXT(VEND[[#This Row],[Fecha Recibe
O.C]],"mmmm")</f>
        <v>mayo</v>
      </c>
      <c r="H384" s="112">
        <v>3510</v>
      </c>
      <c r="I384" s="112" t="s">
        <v>298</v>
      </c>
      <c r="J384" s="112"/>
      <c r="K384" s="58">
        <v>4</v>
      </c>
      <c r="L384" s="123">
        <v>628.72</v>
      </c>
      <c r="M384" s="112" t="s">
        <v>73</v>
      </c>
      <c r="N384" s="112">
        <v>14</v>
      </c>
      <c r="O384" s="212">
        <f>IF(VEND[[#This Row],[STATUS]]="O.C",(VEND[[#This Row],[Fecha Recibe
O.C]]+VEND[[#This Row],[Dias
entrega ]]),"")</f>
        <v>44337</v>
      </c>
      <c r="P384" s="212"/>
      <c r="Q384" s="58">
        <f>IFERROR(VEND[[#This Row],[Fecha de Despacho]]-VEND[[#This Row],[Fecha Estimada de Entrega a  Cliente]],"")</f>
        <v>-44337</v>
      </c>
      <c r="R3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4" s="112" t="str">
        <f>IF(VEND[[#This Row],[STATUS]]="O.C","APROBADO",IF(VEND[[#This Row],[STATUS]]="PERDIDO","PERDIDO",IF(VEND[[#This Row],[STATUS]]="EN ESPERA","EN ESPERA")))</f>
        <v>APROBADO</v>
      </c>
      <c r="T384" s="112" t="str">
        <f>IF(VEND[[#This Row],[STATUS]]="O.C","APROBADO",IF(VEND[[#This Row],[STATUS]]="PERDIDO","PERDIDO",IF(VEND[[#This Row],[STATUS]]="EN ESPERA","EN ESPERA")))</f>
        <v>APROBADO</v>
      </c>
      <c r="U384" s="55" t="s">
        <v>46</v>
      </c>
      <c r="V384" s="55" t="s">
        <v>46</v>
      </c>
      <c r="W384" s="55" t="s">
        <v>1407</v>
      </c>
      <c r="X384" s="112" t="s">
        <v>1287</v>
      </c>
    </row>
    <row r="385" spans="2:24" ht="15.75" x14ac:dyDescent="0.25">
      <c r="B385" s="71">
        <v>44321</v>
      </c>
      <c r="C385" s="71" t="str">
        <f>TEXT(VEND[[#This Row],[Fecha de Envío
Cotización]],"mmmm")</f>
        <v>mayo</v>
      </c>
      <c r="D385" s="66" t="s">
        <v>945</v>
      </c>
      <c r="E385" s="125" t="s">
        <v>42</v>
      </c>
      <c r="F385" s="125" t="str">
        <f>IF(VEND[[#This Row],[STATUS]]="PERDIDO","N/A","En espera")</f>
        <v>N/A</v>
      </c>
      <c r="G385" s="125" t="str">
        <f>TEXT(VEND[[#This Row],[Fecha Recibe
O.C]],"mmmm")</f>
        <v>N/A</v>
      </c>
      <c r="H385" s="112">
        <v>6016</v>
      </c>
      <c r="I385" s="112" t="s">
        <v>130</v>
      </c>
      <c r="J385" s="112"/>
      <c r="K385" s="58">
        <v>1</v>
      </c>
      <c r="L385" s="123">
        <v>206.01</v>
      </c>
      <c r="M385" s="112" t="s">
        <v>119</v>
      </c>
      <c r="N385" s="112">
        <v>0</v>
      </c>
      <c r="O385" s="212" t="str">
        <f>IF(VEND[[#This Row],[STATUS]]="O.C",(VEND[[#This Row],[Fecha Recibe
O.C]]+VEND[[#This Row],[Dias
entrega ]]),"")</f>
        <v/>
      </c>
      <c r="P385" s="212"/>
      <c r="Q385" s="58" t="str">
        <f>IFERROR(VEND[[#This Row],[Fecha de Despacho]]-VEND[[#This Row],[Fecha Estimada de Entrega a  Cliente]],"")</f>
        <v/>
      </c>
      <c r="R3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5" s="112" t="str">
        <f>IF(VEND[[#This Row],[STATUS]]="O.C","APROBADO",IF(VEND[[#This Row],[STATUS]]="PERDIDO","PERDIDO",IF(VEND[[#This Row],[STATUS]]="EN ESPERA","EN ESPERA")))</f>
        <v>PERDIDO</v>
      </c>
      <c r="T385" s="112" t="str">
        <f>IF(VEND[[#This Row],[STATUS]]="O.C","APROBADO",IF(VEND[[#This Row],[STATUS]]="PERDIDO","PERDIDO",IF(VEND[[#This Row],[STATUS]]="EN ESPERA","EN ESPERA")))</f>
        <v>PERDIDO</v>
      </c>
      <c r="U385" s="112" t="s">
        <v>23</v>
      </c>
      <c r="V385" s="112" t="s">
        <v>23</v>
      </c>
      <c r="W385" s="55" t="s">
        <v>1409</v>
      </c>
      <c r="X385" s="112"/>
    </row>
    <row r="386" spans="2:24" ht="15.75" x14ac:dyDescent="0.25">
      <c r="B386" s="71">
        <v>44321</v>
      </c>
      <c r="C386" s="71" t="str">
        <f>TEXT(VEND[[#This Row],[Fecha de Envío
Cotización]],"mmmm")</f>
        <v>mayo</v>
      </c>
      <c r="D386" s="66" t="s">
        <v>1163</v>
      </c>
      <c r="E386" s="125" t="s">
        <v>83</v>
      </c>
      <c r="F386" s="93">
        <v>44321</v>
      </c>
      <c r="G386" s="93" t="str">
        <f>TEXT(VEND[[#This Row],[Fecha Recibe
O.C]],"mmmm")</f>
        <v>mayo</v>
      </c>
      <c r="H386" s="112">
        <v>400000</v>
      </c>
      <c r="I386" s="112" t="s">
        <v>1242</v>
      </c>
      <c r="J386" s="112"/>
      <c r="K386" s="58">
        <v>1</v>
      </c>
      <c r="L386" s="123">
        <v>63304.54</v>
      </c>
      <c r="M386" s="112"/>
      <c r="N386" s="112"/>
      <c r="O386" s="212">
        <f>IF(VEND[[#This Row],[STATUS]]="O.C",(VEND[[#This Row],[Fecha Recibe
O.C]]+VEND[[#This Row],[Dias
entrega ]]),"")</f>
        <v>44321</v>
      </c>
      <c r="P386" s="212"/>
      <c r="Q386" s="58">
        <f>IFERROR(VEND[[#This Row],[Fecha de Despacho]]-VEND[[#This Row],[Fecha Estimada de Entrega a  Cliente]],"")</f>
        <v>-44321</v>
      </c>
      <c r="R3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6" s="112" t="str">
        <f>IF(VEND[[#This Row],[STATUS]]="O.C","APROBADO",IF(VEND[[#This Row],[STATUS]]="PERDIDO","PERDIDO",IF(VEND[[#This Row],[STATUS]]="EN ESPERA","EN ESPERA")))</f>
        <v>APROBADO</v>
      </c>
      <c r="T386" s="112" t="str">
        <f>IF(VEND[[#This Row],[STATUS]]="O.C","APROBADO",IF(VEND[[#This Row],[STATUS]]="PERDIDO","PERDIDO",IF(VEND[[#This Row],[STATUS]]="EN ESPERA","EN ESPERA")))</f>
        <v>APROBADO</v>
      </c>
      <c r="U386" s="55" t="s">
        <v>46</v>
      </c>
      <c r="V386" s="55" t="s">
        <v>46</v>
      </c>
      <c r="W386" s="55" t="s">
        <v>1401</v>
      </c>
      <c r="X386" s="112">
        <v>1013</v>
      </c>
    </row>
    <row r="387" spans="2:24" ht="15.75" x14ac:dyDescent="0.25">
      <c r="B387" s="234">
        <v>44322</v>
      </c>
      <c r="C387" s="70" t="str">
        <f>TEXT(VEND[[#This Row],[Fecha de Envío
Cotización]],"mmmm")</f>
        <v>mayo</v>
      </c>
      <c r="D387" s="66" t="s">
        <v>1163</v>
      </c>
      <c r="E387" s="125" t="s">
        <v>83</v>
      </c>
      <c r="F387" s="125">
        <v>44341</v>
      </c>
      <c r="G387" s="125" t="str">
        <f>TEXT(VEND[[#This Row],[Fecha Recibe
O.C]],"mmmm")</f>
        <v>mayo</v>
      </c>
      <c r="H387" s="112">
        <v>29</v>
      </c>
      <c r="I387" s="57" t="s">
        <v>1241</v>
      </c>
      <c r="J387" s="57"/>
      <c r="K387" s="64">
        <v>4</v>
      </c>
      <c r="L387" s="123">
        <v>8000</v>
      </c>
      <c r="M387" s="57"/>
      <c r="N387" s="112"/>
      <c r="O387" s="214">
        <f>IF(VEND[[#This Row],[STATUS]]="O.C",(VEND[[#This Row],[Fecha Recibe
O.C]]+VEND[[#This Row],[Dias
entrega ]]),"")</f>
        <v>44341</v>
      </c>
      <c r="P387" s="214"/>
      <c r="Q387" s="64">
        <f>IFERROR(VEND[[#This Row],[Fecha de Despacho]]-VEND[[#This Row],[Fecha Estimada de Entrega a  Cliente]],"")</f>
        <v>-44341</v>
      </c>
      <c r="R3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7" s="57" t="str">
        <f>IF(VEND[[#This Row],[STATUS]]="O.C","APROBADO",IF(VEND[[#This Row],[STATUS]]="PERDIDO","PERDIDO",IF(VEND[[#This Row],[STATUS]]="EN ESPERA","EN ESPERA")))</f>
        <v>APROBADO</v>
      </c>
      <c r="T387" s="57" t="str">
        <f>IF(VEND[[#This Row],[STATUS]]="O.C","APROBADO",IF(VEND[[#This Row],[STATUS]]="PERDIDO","PERDIDO",IF(VEND[[#This Row],[STATUS]]="EN ESPERA","EN ESPERA")))</f>
        <v>APROBADO</v>
      </c>
      <c r="U387" s="55" t="s">
        <v>23</v>
      </c>
      <c r="V387" s="55" t="s">
        <v>23</v>
      </c>
      <c r="W387" s="55" t="s">
        <v>1409</v>
      </c>
      <c r="X387" s="57" t="s">
        <v>2439</v>
      </c>
    </row>
    <row r="388" spans="2:24" ht="15.75" x14ac:dyDescent="0.25">
      <c r="B388" s="70">
        <v>44322</v>
      </c>
      <c r="C388" s="70" t="str">
        <f>TEXT(VEND[[#This Row],[Fecha de Envío
Cotización]],"mmmm")</f>
        <v>mayo</v>
      </c>
      <c r="D388" s="66" t="s">
        <v>50</v>
      </c>
      <c r="E388" s="125" t="s">
        <v>88</v>
      </c>
      <c r="F388" s="125" t="str">
        <f>IF(VEND[[#This Row],[STATUS]]="PERDIDO","N/A","En espera")</f>
        <v>En espera</v>
      </c>
      <c r="G388" s="125" t="str">
        <f>TEXT(VEND[[#This Row],[Fecha Recibe
O.C]],"mmmm")</f>
        <v>En espera</v>
      </c>
      <c r="H388" s="112">
        <v>1544</v>
      </c>
      <c r="I388" s="112" t="s">
        <v>1109</v>
      </c>
      <c r="J388" s="57"/>
      <c r="K388" s="64">
        <v>1</v>
      </c>
      <c r="L388" s="123">
        <v>141.13</v>
      </c>
      <c r="M388" s="112" t="s">
        <v>51</v>
      </c>
      <c r="N388" s="112">
        <v>21</v>
      </c>
      <c r="O388" s="212" t="str">
        <f>IF(VEND[[#This Row],[STATUS]]="O.C",(VEND[[#This Row],[Fecha Recibe
O.C]]+VEND[[#This Row],[Dias
entrega ]]),"")</f>
        <v/>
      </c>
      <c r="P388" s="214"/>
      <c r="Q388" s="64" t="str">
        <f>IFERROR(VEND[[#This Row],[Fecha de Despacho]]-VEND[[#This Row],[Fecha Estimada de Entrega a  Cliente]],"")</f>
        <v/>
      </c>
      <c r="R3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8" s="112" t="str">
        <f>IF(VEND[[#This Row],[STATUS]]="O.C","APROBADO",IF(VEND[[#This Row],[STATUS]]="PERDIDO","PERDIDO",IF(VEND[[#This Row],[STATUS]]="EN ESPERA","EN ESPERA")))</f>
        <v>EN ESPERA</v>
      </c>
      <c r="T388" s="112" t="str">
        <f>IF(VEND[[#This Row],[STATUS]]="O.C","APROBADO",IF(VEND[[#This Row],[STATUS]]="PERDIDO","PERDIDO",IF(VEND[[#This Row],[STATUS]]="EN ESPERA","EN ESPERA")))</f>
        <v>EN ESPERA</v>
      </c>
      <c r="U388" s="55" t="s">
        <v>23</v>
      </c>
      <c r="V388" s="55" t="s">
        <v>23</v>
      </c>
      <c r="W388" s="55" t="s">
        <v>1401</v>
      </c>
      <c r="X388" s="57"/>
    </row>
    <row r="389" spans="2:24" ht="15.75" x14ac:dyDescent="0.25">
      <c r="B389" s="70">
        <v>44322</v>
      </c>
      <c r="C389" s="70" t="str">
        <f>TEXT(VEND[[#This Row],[Fecha de Envío
Cotización]],"mmmm")</f>
        <v>mayo</v>
      </c>
      <c r="D389" s="66" t="s">
        <v>50</v>
      </c>
      <c r="E389" s="125" t="s">
        <v>88</v>
      </c>
      <c r="F389" s="125" t="str">
        <f>IF(VEND[[#This Row],[STATUS]]="PERDIDO","N/A","En espera")</f>
        <v>En espera</v>
      </c>
      <c r="G389" s="125" t="str">
        <f>TEXT(VEND[[#This Row],[Fecha Recibe
O.C]],"mmmm")</f>
        <v>En espera</v>
      </c>
      <c r="H389" s="112">
        <v>1545</v>
      </c>
      <c r="I389" s="112" t="s">
        <v>1109</v>
      </c>
      <c r="J389" s="57"/>
      <c r="K389" s="64">
        <v>1</v>
      </c>
      <c r="L389" s="123">
        <v>274.01</v>
      </c>
      <c r="M389" s="112" t="s">
        <v>51</v>
      </c>
      <c r="N389" s="112">
        <v>21</v>
      </c>
      <c r="O389" s="212" t="str">
        <f>IF(VEND[[#This Row],[STATUS]]="O.C",(VEND[[#This Row],[Fecha Recibe
O.C]]+VEND[[#This Row],[Dias
entrega ]]),"")</f>
        <v/>
      </c>
      <c r="P389" s="214"/>
      <c r="Q389" s="64" t="str">
        <f>IFERROR(VEND[[#This Row],[Fecha de Despacho]]-VEND[[#This Row],[Fecha Estimada de Entrega a  Cliente]],"")</f>
        <v/>
      </c>
      <c r="R3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89" s="112" t="str">
        <f>IF(VEND[[#This Row],[STATUS]]="O.C","APROBADO",IF(VEND[[#This Row],[STATUS]]="PERDIDO","PERDIDO",IF(VEND[[#This Row],[STATUS]]="EN ESPERA","EN ESPERA")))</f>
        <v>EN ESPERA</v>
      </c>
      <c r="T389" s="112" t="str">
        <f>IF(VEND[[#This Row],[STATUS]]="O.C","APROBADO",IF(VEND[[#This Row],[STATUS]]="PERDIDO","PERDIDO",IF(VEND[[#This Row],[STATUS]]="EN ESPERA","EN ESPERA")))</f>
        <v>EN ESPERA</v>
      </c>
      <c r="U389" s="55" t="s">
        <v>23</v>
      </c>
      <c r="V389" s="55" t="s">
        <v>23</v>
      </c>
      <c r="W389" s="55" t="s">
        <v>1401</v>
      </c>
      <c r="X389" s="57"/>
    </row>
    <row r="390" spans="2:24" ht="15.75" x14ac:dyDescent="0.25">
      <c r="B390" s="70">
        <v>44322</v>
      </c>
      <c r="C390" s="70" t="str">
        <f>TEXT(VEND[[#This Row],[Fecha de Envío
Cotización]],"mmmm")</f>
        <v>mayo</v>
      </c>
      <c r="D390" s="66" t="s">
        <v>50</v>
      </c>
      <c r="E390" s="92" t="s">
        <v>88</v>
      </c>
      <c r="F390" s="125" t="str">
        <f>IF(VEND[[#This Row],[STATUS]]="PERDIDO","N/A","En espera")</f>
        <v>En espera</v>
      </c>
      <c r="G390" s="125" t="str">
        <f>TEXT(VEND[[#This Row],[Fecha Recibe
O.C]],"mmmm")</f>
        <v>En espera</v>
      </c>
      <c r="H390" s="112">
        <v>1546</v>
      </c>
      <c r="I390" s="112" t="s">
        <v>1109</v>
      </c>
      <c r="J390" s="57"/>
      <c r="K390" s="64">
        <v>1</v>
      </c>
      <c r="L390" s="123">
        <v>842.54</v>
      </c>
      <c r="M390" s="112" t="s">
        <v>51</v>
      </c>
      <c r="N390" s="112">
        <v>21</v>
      </c>
      <c r="O390" s="212" t="str">
        <f>IF(VEND[[#This Row],[STATUS]]="O.C",(VEND[[#This Row],[Fecha Recibe
O.C]]+VEND[[#This Row],[Dias
entrega ]]),"")</f>
        <v/>
      </c>
      <c r="P390" s="214"/>
      <c r="Q390" s="64" t="str">
        <f>IFERROR(VEND[[#This Row],[Fecha de Despacho]]-VEND[[#This Row],[Fecha Estimada de Entrega a  Cliente]],"")</f>
        <v/>
      </c>
      <c r="R3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0" s="112" t="str">
        <f>IF(VEND[[#This Row],[STATUS]]="O.C","APROBADO",IF(VEND[[#This Row],[STATUS]]="PERDIDO","PERDIDO",IF(VEND[[#This Row],[STATUS]]="EN ESPERA","EN ESPERA")))</f>
        <v>EN ESPERA</v>
      </c>
      <c r="T390" s="112" t="str">
        <f>IF(VEND[[#This Row],[STATUS]]="O.C","APROBADO",IF(VEND[[#This Row],[STATUS]]="PERDIDO","PERDIDO",IF(VEND[[#This Row],[STATUS]]="EN ESPERA","EN ESPERA")))</f>
        <v>EN ESPERA</v>
      </c>
      <c r="U390" s="55" t="s">
        <v>23</v>
      </c>
      <c r="V390" s="55" t="s">
        <v>23</v>
      </c>
      <c r="W390" s="55" t="s">
        <v>1401</v>
      </c>
      <c r="X390" s="57"/>
    </row>
    <row r="391" spans="2:24" ht="15.75" x14ac:dyDescent="0.25">
      <c r="B391" s="70">
        <v>44322</v>
      </c>
      <c r="C391" s="70" t="str">
        <f>TEXT(VEND[[#This Row],[Fecha de Envío
Cotización]],"mmmm")</f>
        <v>mayo</v>
      </c>
      <c r="D391" s="66" t="s">
        <v>50</v>
      </c>
      <c r="E391" s="92" t="s">
        <v>88</v>
      </c>
      <c r="F391" s="125" t="str">
        <f>IF(VEND[[#This Row],[STATUS]]="PERDIDO","N/A","En espera")</f>
        <v>En espera</v>
      </c>
      <c r="G391" s="125" t="str">
        <f>TEXT(VEND[[#This Row],[Fecha Recibe
O.C]],"mmmm")</f>
        <v>En espera</v>
      </c>
      <c r="H391" s="112">
        <v>1547</v>
      </c>
      <c r="I391" s="112" t="s">
        <v>33</v>
      </c>
      <c r="J391" s="57"/>
      <c r="K391" s="146">
        <v>1</v>
      </c>
      <c r="L391" s="123">
        <v>483.39</v>
      </c>
      <c r="M391" s="112" t="s">
        <v>51</v>
      </c>
      <c r="N391" s="112">
        <v>21</v>
      </c>
      <c r="O391" s="212" t="str">
        <f>IF(VEND[[#This Row],[STATUS]]="O.C",(VEND[[#This Row],[Fecha Recibe
O.C]]+VEND[[#This Row],[Dias
entrega ]]),"")</f>
        <v/>
      </c>
      <c r="P391" s="214"/>
      <c r="Q391" s="64" t="str">
        <f>IFERROR(VEND[[#This Row],[Fecha de Despacho]]-VEND[[#This Row],[Fecha Estimada de Entrega a  Cliente]],"")</f>
        <v/>
      </c>
      <c r="R3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1" s="112" t="str">
        <f>IF(VEND[[#This Row],[STATUS]]="O.C","APROBADO",IF(VEND[[#This Row],[STATUS]]="PERDIDO","PERDIDO",IF(VEND[[#This Row],[STATUS]]="EN ESPERA","EN ESPERA")))</f>
        <v>EN ESPERA</v>
      </c>
      <c r="T391" s="112" t="str">
        <f>IF(VEND[[#This Row],[STATUS]]="O.C","APROBADO",IF(VEND[[#This Row],[STATUS]]="PERDIDO","PERDIDO",IF(VEND[[#This Row],[STATUS]]="EN ESPERA","EN ESPERA")))</f>
        <v>EN ESPERA</v>
      </c>
      <c r="U391" s="55" t="s">
        <v>23</v>
      </c>
      <c r="V391" s="55" t="s">
        <v>23</v>
      </c>
      <c r="W391" s="55" t="s">
        <v>1402</v>
      </c>
      <c r="X391" s="57"/>
    </row>
    <row r="392" spans="2:24" s="50" customFormat="1" ht="15.75" x14ac:dyDescent="0.25">
      <c r="B392" s="70">
        <v>44322</v>
      </c>
      <c r="C392" s="70" t="str">
        <f>TEXT(VEND[[#This Row],[Fecha de Envío
Cotización]],"mmmm")</f>
        <v>mayo</v>
      </c>
      <c r="D392" s="66" t="s">
        <v>50</v>
      </c>
      <c r="E392" s="125" t="s">
        <v>42</v>
      </c>
      <c r="F392" s="92" t="str">
        <f>IF(VEND[[#This Row],[STATUS]]="PERDIDO","N/A","En espera")</f>
        <v>N/A</v>
      </c>
      <c r="G392" s="125" t="str">
        <f>TEXT(VEND[[#This Row],[Fecha Recibe
O.C]],"mmmm")</f>
        <v>N/A</v>
      </c>
      <c r="H392" s="112">
        <v>1548</v>
      </c>
      <c r="I392" s="55" t="s">
        <v>109</v>
      </c>
      <c r="J392" s="57"/>
      <c r="K392" s="64">
        <v>17</v>
      </c>
      <c r="L392" s="123">
        <v>1877.29</v>
      </c>
      <c r="M392" s="112" t="s">
        <v>51</v>
      </c>
      <c r="N392" s="112">
        <v>21</v>
      </c>
      <c r="O392" s="212" t="str">
        <f>IF(VEND[[#This Row],[STATUS]]="O.C",(VEND[[#This Row],[Fecha Recibe
O.C]]+VEND[[#This Row],[Dias
entrega ]]),"")</f>
        <v/>
      </c>
      <c r="P392" s="214"/>
      <c r="Q392" s="64" t="str">
        <f>IFERROR(VEND[[#This Row],[Fecha de Despacho]]-VEND[[#This Row],[Fecha Estimada de Entrega a  Cliente]],"")</f>
        <v/>
      </c>
      <c r="R3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2" s="112" t="str">
        <f>IF(VEND[[#This Row],[STATUS]]="O.C","APROBADO",IF(VEND[[#This Row],[STATUS]]="PERDIDO","PERDIDO",IF(VEND[[#This Row],[STATUS]]="EN ESPERA","EN ESPERA")))</f>
        <v>PERDIDO</v>
      </c>
      <c r="T392" s="112" t="str">
        <f>IF(VEND[[#This Row],[STATUS]]="O.C","APROBADO",IF(VEND[[#This Row],[STATUS]]="PERDIDO","PERDIDO",IF(VEND[[#This Row],[STATUS]]="EN ESPERA","EN ESPERA")))</f>
        <v>PERDIDO</v>
      </c>
      <c r="U392" s="55" t="s">
        <v>23</v>
      </c>
      <c r="V392" s="55" t="s">
        <v>23</v>
      </c>
      <c r="W392" s="112" t="s">
        <v>1401</v>
      </c>
      <c r="X392" s="57"/>
    </row>
    <row r="393" spans="2:24" s="50" customFormat="1" ht="15.75" x14ac:dyDescent="0.25">
      <c r="B393" s="71">
        <v>44322</v>
      </c>
      <c r="C393" s="71" t="str">
        <f>TEXT(VEND[[#This Row],[Fecha de Envío
Cotización]],"mmmm")</f>
        <v>mayo</v>
      </c>
      <c r="D393" s="66" t="s">
        <v>41</v>
      </c>
      <c r="E393" s="125" t="s">
        <v>83</v>
      </c>
      <c r="F393" s="125">
        <v>44340</v>
      </c>
      <c r="G393" s="125" t="str">
        <f>TEXT(VEND[[#This Row],[Fecha Recibe
O.C]],"mmmm")</f>
        <v>mayo</v>
      </c>
      <c r="H393" s="112">
        <v>3511</v>
      </c>
      <c r="I393" s="55" t="s">
        <v>416</v>
      </c>
      <c r="J393" s="112"/>
      <c r="K393" s="58">
        <v>1</v>
      </c>
      <c r="L393" s="123">
        <v>3821.24</v>
      </c>
      <c r="M393" s="112" t="s">
        <v>73</v>
      </c>
      <c r="N393" s="112">
        <v>14</v>
      </c>
      <c r="O393" s="212">
        <f>IF(VEND[[#This Row],[STATUS]]="O.C",(VEND[[#This Row],[Fecha Recibe
O.C]]+VEND[[#This Row],[Dias
entrega ]]),"")</f>
        <v>44354</v>
      </c>
      <c r="P393" s="212"/>
      <c r="Q393" s="58">
        <f>IFERROR(VEND[[#This Row],[Fecha de Despacho]]-VEND[[#This Row],[Fecha Estimada de Entrega a  Cliente]],"")</f>
        <v>-44354</v>
      </c>
      <c r="R3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3" s="112" t="str">
        <f>IF(VEND[[#This Row],[STATUS]]="O.C","APROBADO",IF(VEND[[#This Row],[STATUS]]="PERDIDO","PERDIDO",IF(VEND[[#This Row],[STATUS]]="EN ESPERA","EN ESPERA")))</f>
        <v>APROBADO</v>
      </c>
      <c r="T393" s="112" t="str">
        <f>IF(VEND[[#This Row],[STATUS]]="O.C","APROBADO",IF(VEND[[#This Row],[STATUS]]="PERDIDO","PERDIDO",IF(VEND[[#This Row],[STATUS]]="EN ESPERA","EN ESPERA")))</f>
        <v>APROBADO</v>
      </c>
      <c r="U393" s="55" t="s">
        <v>46</v>
      </c>
      <c r="V393" s="55" t="s">
        <v>46</v>
      </c>
      <c r="W393" s="112" t="s">
        <v>1401</v>
      </c>
      <c r="X393" s="112"/>
    </row>
    <row r="394" spans="2:24" s="50" customFormat="1" ht="15.75" x14ac:dyDescent="0.25">
      <c r="B394" s="71">
        <v>44322</v>
      </c>
      <c r="C394" s="71" t="str">
        <f>TEXT(VEND[[#This Row],[Fecha de Envío
Cotización]],"mmmm")</f>
        <v>mayo</v>
      </c>
      <c r="D394" s="66" t="s">
        <v>41</v>
      </c>
      <c r="E394" s="125" t="s">
        <v>88</v>
      </c>
      <c r="F394" s="125" t="str">
        <f>IF(VEND[[#This Row],[STATUS]]="PERDIDO","N/A","En espera")</f>
        <v>En espera</v>
      </c>
      <c r="G394" s="125" t="str">
        <f>TEXT(VEND[[#This Row],[Fecha Recibe
O.C]],"mmmm")</f>
        <v>En espera</v>
      </c>
      <c r="H394" s="112">
        <v>3512</v>
      </c>
      <c r="I394" s="112" t="s">
        <v>298</v>
      </c>
      <c r="J394" s="112"/>
      <c r="K394" s="58">
        <v>1</v>
      </c>
      <c r="L394" s="123">
        <v>494.05</v>
      </c>
      <c r="M394" s="112" t="s">
        <v>77</v>
      </c>
      <c r="N394" s="112">
        <v>7</v>
      </c>
      <c r="O394" s="212" t="str">
        <f>IF(VEND[[#This Row],[STATUS]]="O.C",(VEND[[#This Row],[Fecha Recibe
O.C]]+VEND[[#This Row],[Dias
entrega ]]),"")</f>
        <v/>
      </c>
      <c r="P394" s="212"/>
      <c r="Q394" s="58" t="str">
        <f>IFERROR(VEND[[#This Row],[Fecha de Despacho]]-VEND[[#This Row],[Fecha Estimada de Entrega a  Cliente]],"")</f>
        <v/>
      </c>
      <c r="R3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4" s="112" t="str">
        <f>IF(VEND[[#This Row],[STATUS]]="O.C","APROBADO",IF(VEND[[#This Row],[STATUS]]="PERDIDO","PERDIDO",IF(VEND[[#This Row],[STATUS]]="EN ESPERA","EN ESPERA")))</f>
        <v>EN ESPERA</v>
      </c>
      <c r="T394" s="112" t="str">
        <f>IF(VEND[[#This Row],[STATUS]]="O.C","APROBADO",IF(VEND[[#This Row],[STATUS]]="PERDIDO","PERDIDO",IF(VEND[[#This Row],[STATUS]]="EN ESPERA","EN ESPERA")))</f>
        <v>EN ESPERA</v>
      </c>
      <c r="U394" s="55" t="s">
        <v>23</v>
      </c>
      <c r="V394" s="55" t="s">
        <v>23</v>
      </c>
      <c r="W394" s="55" t="s">
        <v>1407</v>
      </c>
      <c r="X394" s="112"/>
    </row>
    <row r="395" spans="2:24" s="50" customFormat="1" ht="15.75" x14ac:dyDescent="0.25">
      <c r="B395" s="234">
        <v>44322</v>
      </c>
      <c r="C395" s="70" t="str">
        <f>TEXT(VEND[[#This Row],[Fecha de Envío
Cotización]],"mmmm")</f>
        <v>mayo</v>
      </c>
      <c r="D395" s="66" t="s">
        <v>1163</v>
      </c>
      <c r="E395" s="125" t="s">
        <v>83</v>
      </c>
      <c r="F395" s="125">
        <v>44336</v>
      </c>
      <c r="G395" s="125" t="str">
        <f>TEXT(VEND[[#This Row],[Fecha Recibe
O.C]],"mmmm")</f>
        <v>mayo</v>
      </c>
      <c r="H395" s="112">
        <v>4548</v>
      </c>
      <c r="I395" s="57" t="s">
        <v>1241</v>
      </c>
      <c r="J395" s="57"/>
      <c r="K395" s="64">
        <v>4</v>
      </c>
      <c r="L395" s="123">
        <v>1757.8</v>
      </c>
      <c r="M395" s="57"/>
      <c r="N395" s="112"/>
      <c r="O395" s="214">
        <f>IF(VEND[[#This Row],[STATUS]]="O.C",(VEND[[#This Row],[Fecha Recibe
O.C]]+VEND[[#This Row],[Dias
entrega ]]),"")</f>
        <v>44336</v>
      </c>
      <c r="P395" s="214"/>
      <c r="Q395" s="64">
        <f>IFERROR(VEND[[#This Row],[Fecha de Despacho]]-VEND[[#This Row],[Fecha Estimada de Entrega a  Cliente]],"")</f>
        <v>-44336</v>
      </c>
      <c r="R3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5" s="57" t="str">
        <f>IF(VEND[[#This Row],[STATUS]]="O.C","APROBADO",IF(VEND[[#This Row],[STATUS]]="PERDIDO","PERDIDO",IF(VEND[[#This Row],[STATUS]]="EN ESPERA","EN ESPERA")))</f>
        <v>APROBADO</v>
      </c>
      <c r="T395" s="57" t="str">
        <f>IF(VEND[[#This Row],[STATUS]]="O.C","APROBADO",IF(VEND[[#This Row],[STATUS]]="PERDIDO","PERDIDO",IF(VEND[[#This Row],[STATUS]]="EN ESPERA","EN ESPERA")))</f>
        <v>APROBADO</v>
      </c>
      <c r="U395" s="55" t="s">
        <v>46</v>
      </c>
      <c r="V395" s="55" t="s">
        <v>46</v>
      </c>
      <c r="W395" s="55" t="s">
        <v>1409</v>
      </c>
      <c r="X395" s="57" t="s">
        <v>2435</v>
      </c>
    </row>
    <row r="396" spans="2:24" s="50" customFormat="1" ht="15.75" x14ac:dyDescent="0.25">
      <c r="B396" s="70">
        <v>44322</v>
      </c>
      <c r="C396" s="70" t="str">
        <f>TEXT(VEND[[#This Row],[Fecha de Envío
Cotización]],"mmmm")</f>
        <v>mayo</v>
      </c>
      <c r="D396" s="66" t="s">
        <v>1163</v>
      </c>
      <c r="E396" s="125" t="s">
        <v>88</v>
      </c>
      <c r="F396" s="125" t="str">
        <f>IF(VEND[[#This Row],[STATUS]]="PERDIDO","N/A","En espera")</f>
        <v>En espera</v>
      </c>
      <c r="G396" s="125" t="str">
        <f>TEXT(VEND[[#This Row],[Fecha Recibe
O.C]],"mmmm")</f>
        <v>En espera</v>
      </c>
      <c r="H396" s="112">
        <v>4549</v>
      </c>
      <c r="I396" s="57" t="s">
        <v>1241</v>
      </c>
      <c r="J396" s="57"/>
      <c r="K396" s="64">
        <v>20</v>
      </c>
      <c r="L396" s="123">
        <v>12167.6</v>
      </c>
      <c r="M396" s="57"/>
      <c r="N396" s="112"/>
      <c r="O396" s="212" t="str">
        <f>IF(VEND[[#This Row],[STATUS]]="O.C",(VEND[[#This Row],[Fecha Recibe
O.C]]+VEND[[#This Row],[Dias
entrega ]]),"")</f>
        <v/>
      </c>
      <c r="P396" s="214"/>
      <c r="Q396" s="64" t="str">
        <f>IFERROR(VEND[[#This Row],[Fecha de Despacho]]-VEND[[#This Row],[Fecha Estimada de Entrega a  Cliente]],"")</f>
        <v/>
      </c>
      <c r="R3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6" s="57" t="str">
        <f>IF(VEND[[#This Row],[STATUS]]="O.C","APROBADO",IF(VEND[[#This Row],[STATUS]]="PERDIDO","PERDIDO",IF(VEND[[#This Row],[STATUS]]="EN ESPERA","EN ESPERA")))</f>
        <v>EN ESPERA</v>
      </c>
      <c r="T396" s="57" t="str">
        <f>IF(VEND[[#This Row],[STATUS]]="O.C","APROBADO",IF(VEND[[#This Row],[STATUS]]="PERDIDO","PERDIDO",IF(VEND[[#This Row],[STATUS]]="EN ESPERA","EN ESPERA")))</f>
        <v>EN ESPERA</v>
      </c>
      <c r="U396" s="112" t="s">
        <v>23</v>
      </c>
      <c r="V396" s="112" t="s">
        <v>23</v>
      </c>
      <c r="W396" s="55" t="s">
        <v>1409</v>
      </c>
      <c r="X396" s="57"/>
    </row>
    <row r="397" spans="2:24" s="50" customFormat="1" ht="15.75" x14ac:dyDescent="0.25">
      <c r="B397" s="70">
        <v>44322</v>
      </c>
      <c r="C397" s="70" t="str">
        <f>TEXT(VEND[[#This Row],[Fecha de Envío
Cotización]],"mmmm")</f>
        <v>mayo</v>
      </c>
      <c r="D397" s="66" t="s">
        <v>1163</v>
      </c>
      <c r="E397" s="125" t="s">
        <v>88</v>
      </c>
      <c r="F397" s="92" t="str">
        <f>IF(VEND[[#This Row],[STATUS]]="PERDIDO","N/A","En espera")</f>
        <v>En espera</v>
      </c>
      <c r="G397" s="125" t="str">
        <f>TEXT(VEND[[#This Row],[Fecha Recibe
O.C]],"mmmm")</f>
        <v>En espera</v>
      </c>
      <c r="H397" s="112">
        <v>4550</v>
      </c>
      <c r="I397" s="57" t="s">
        <v>1241</v>
      </c>
      <c r="J397" s="57"/>
      <c r="K397" s="64">
        <v>8</v>
      </c>
      <c r="L397" s="123">
        <v>2356</v>
      </c>
      <c r="M397" s="57"/>
      <c r="N397" s="112"/>
      <c r="O397" s="212" t="str">
        <f>IF(VEND[[#This Row],[STATUS]]="O.C",(VEND[[#This Row],[Fecha Recibe
O.C]]+VEND[[#This Row],[Dias
entrega ]]),"")</f>
        <v/>
      </c>
      <c r="P397" s="214"/>
      <c r="Q397" s="64" t="str">
        <f>IFERROR(VEND[[#This Row],[Fecha de Despacho]]-VEND[[#This Row],[Fecha Estimada de Entrega a  Cliente]],"")</f>
        <v/>
      </c>
      <c r="R3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7" s="57" t="str">
        <f>IF(VEND[[#This Row],[STATUS]]="O.C","APROBADO",IF(VEND[[#This Row],[STATUS]]="PERDIDO","PERDIDO",IF(VEND[[#This Row],[STATUS]]="EN ESPERA","EN ESPERA")))</f>
        <v>EN ESPERA</v>
      </c>
      <c r="T397" s="57" t="str">
        <f>IF(VEND[[#This Row],[STATUS]]="O.C","APROBADO",IF(VEND[[#This Row],[STATUS]]="PERDIDO","PERDIDO",IF(VEND[[#This Row],[STATUS]]="EN ESPERA","EN ESPERA")))</f>
        <v>EN ESPERA</v>
      </c>
      <c r="U397" s="112" t="s">
        <v>23</v>
      </c>
      <c r="V397" s="112" t="s">
        <v>23</v>
      </c>
      <c r="W397" s="55" t="s">
        <v>1409</v>
      </c>
      <c r="X397" s="57"/>
    </row>
    <row r="398" spans="2:24" s="50" customFormat="1" ht="15.75" x14ac:dyDescent="0.25">
      <c r="B398" s="234">
        <v>44322</v>
      </c>
      <c r="C398" s="70" t="str">
        <f>TEXT(VEND[[#This Row],[Fecha de Envío
Cotización]],"mmmm")</f>
        <v>mayo</v>
      </c>
      <c r="D398" s="66" t="s">
        <v>1163</v>
      </c>
      <c r="E398" s="125" t="s">
        <v>83</v>
      </c>
      <c r="F398" s="92">
        <v>44327</v>
      </c>
      <c r="G398" s="125" t="str">
        <f>TEXT(VEND[[#This Row],[Fecha Recibe
O.C]],"mmmm")</f>
        <v>mayo</v>
      </c>
      <c r="H398" s="112">
        <v>4551</v>
      </c>
      <c r="I398" s="57" t="s">
        <v>1241</v>
      </c>
      <c r="J398" s="57"/>
      <c r="K398" s="64">
        <v>20</v>
      </c>
      <c r="L398" s="123">
        <v>998.8</v>
      </c>
      <c r="M398" s="57"/>
      <c r="N398" s="112"/>
      <c r="O398" s="214">
        <f>IF(VEND[[#This Row],[STATUS]]="O.C",(VEND[[#This Row],[Fecha Recibe
O.C]]+VEND[[#This Row],[Dias
entrega ]]),"")</f>
        <v>44327</v>
      </c>
      <c r="P398" s="214"/>
      <c r="Q398" s="64">
        <f>IFERROR(VEND[[#This Row],[Fecha de Despacho]]-VEND[[#This Row],[Fecha Estimada de Entrega a  Cliente]],"")</f>
        <v>-44327</v>
      </c>
      <c r="R3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8" s="57" t="str">
        <f>IF(VEND[[#This Row],[STATUS]]="O.C","APROBADO",IF(VEND[[#This Row],[STATUS]]="PERDIDO","PERDIDO",IF(VEND[[#This Row],[STATUS]]="EN ESPERA","EN ESPERA")))</f>
        <v>APROBADO</v>
      </c>
      <c r="T398" s="57" t="str">
        <f>IF(VEND[[#This Row],[STATUS]]="O.C","APROBADO",IF(VEND[[#This Row],[STATUS]]="PERDIDO","PERDIDO",IF(VEND[[#This Row],[STATUS]]="EN ESPERA","EN ESPERA")))</f>
        <v>APROBADO</v>
      </c>
      <c r="U398" s="112" t="s">
        <v>23</v>
      </c>
      <c r="V398" s="112" t="s">
        <v>23</v>
      </c>
      <c r="W398" s="55" t="s">
        <v>1409</v>
      </c>
      <c r="X398" s="57" t="s">
        <v>2431</v>
      </c>
    </row>
    <row r="399" spans="2:24" s="50" customFormat="1" ht="15.75" x14ac:dyDescent="0.25">
      <c r="B399" s="234">
        <v>44322</v>
      </c>
      <c r="C399" s="70" t="str">
        <f>TEXT(VEND[[#This Row],[Fecha de Envío
Cotización]],"mmmm")</f>
        <v>mayo</v>
      </c>
      <c r="D399" s="66" t="s">
        <v>1163</v>
      </c>
      <c r="E399" s="125" t="s">
        <v>83</v>
      </c>
      <c r="F399" s="92">
        <v>44327</v>
      </c>
      <c r="G399" s="125" t="str">
        <f>TEXT(VEND[[#This Row],[Fecha Recibe
O.C]],"mmmm")</f>
        <v>mayo</v>
      </c>
      <c r="H399" s="112">
        <v>4552</v>
      </c>
      <c r="I399" s="112" t="s">
        <v>1241</v>
      </c>
      <c r="J399" s="57"/>
      <c r="K399" s="64">
        <v>1</v>
      </c>
      <c r="L399" s="123">
        <v>1038.28</v>
      </c>
      <c r="M399" s="57"/>
      <c r="N399" s="112"/>
      <c r="O399" s="214">
        <f>IF(VEND[[#This Row],[STATUS]]="O.C",(VEND[[#This Row],[Fecha Recibe
O.C]]+VEND[[#This Row],[Dias
entrega ]]),"")</f>
        <v>44327</v>
      </c>
      <c r="P399" s="214"/>
      <c r="Q399" s="64">
        <f>IFERROR(VEND[[#This Row],[Fecha de Despacho]]-VEND[[#This Row],[Fecha Estimada de Entrega a  Cliente]],"")</f>
        <v>-44327</v>
      </c>
      <c r="R3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399" s="57" t="str">
        <f>IF(VEND[[#This Row],[STATUS]]="O.C","APROBADO",IF(VEND[[#This Row],[STATUS]]="PERDIDO","PERDIDO",IF(VEND[[#This Row],[STATUS]]="EN ESPERA","EN ESPERA")))</f>
        <v>APROBADO</v>
      </c>
      <c r="T399" s="57" t="str">
        <f>IF(VEND[[#This Row],[STATUS]]="O.C","APROBADO",IF(VEND[[#This Row],[STATUS]]="PERDIDO","PERDIDO",IF(VEND[[#This Row],[STATUS]]="EN ESPERA","EN ESPERA")))</f>
        <v>APROBADO</v>
      </c>
      <c r="U399" s="112" t="s">
        <v>23</v>
      </c>
      <c r="V399" s="112" t="s">
        <v>23</v>
      </c>
      <c r="W399" s="55" t="s">
        <v>1409</v>
      </c>
      <c r="X399" s="112" t="s">
        <v>2433</v>
      </c>
    </row>
    <row r="400" spans="2:24" ht="15.75" x14ac:dyDescent="0.25">
      <c r="B400" s="234">
        <v>44322</v>
      </c>
      <c r="C400" s="70" t="str">
        <f>TEXT(VEND[[#This Row],[Fecha de Envío
Cotización]],"mmmm")</f>
        <v>mayo</v>
      </c>
      <c r="D400" s="66" t="s">
        <v>1163</v>
      </c>
      <c r="E400" s="125" t="s">
        <v>83</v>
      </c>
      <c r="F400" s="125">
        <v>44336</v>
      </c>
      <c r="G400" s="125" t="str">
        <f>TEXT(VEND[[#This Row],[Fecha Recibe
O.C]],"mmmm")</f>
        <v>mayo</v>
      </c>
      <c r="H400" s="112">
        <v>4553</v>
      </c>
      <c r="I400" s="57" t="s">
        <v>1241</v>
      </c>
      <c r="J400" s="57"/>
      <c r="K400" s="64">
        <v>2</v>
      </c>
      <c r="L400" s="123">
        <v>1996</v>
      </c>
      <c r="M400" s="57"/>
      <c r="N400" s="112"/>
      <c r="O400" s="214">
        <f>IF(VEND[[#This Row],[STATUS]]="O.C",(VEND[[#This Row],[Fecha Recibe
O.C]]+VEND[[#This Row],[Dias
entrega ]]),"")</f>
        <v>44336</v>
      </c>
      <c r="P400" s="214"/>
      <c r="Q400" s="64">
        <f>IFERROR(VEND[[#This Row],[Fecha de Despacho]]-VEND[[#This Row],[Fecha Estimada de Entrega a  Cliente]],"")</f>
        <v>-44336</v>
      </c>
      <c r="R4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0" s="57" t="str">
        <f>IF(VEND[[#This Row],[STATUS]]="O.C","APROBADO",IF(VEND[[#This Row],[STATUS]]="PERDIDO","PERDIDO",IF(VEND[[#This Row],[STATUS]]="EN ESPERA","EN ESPERA")))</f>
        <v>APROBADO</v>
      </c>
      <c r="T400" s="57" t="str">
        <f>IF(VEND[[#This Row],[STATUS]]="O.C","APROBADO",IF(VEND[[#This Row],[STATUS]]="PERDIDO","PERDIDO",IF(VEND[[#This Row],[STATUS]]="EN ESPERA","EN ESPERA")))</f>
        <v>APROBADO</v>
      </c>
      <c r="U400" s="112" t="s">
        <v>46</v>
      </c>
      <c r="V400" s="112" t="s">
        <v>46</v>
      </c>
      <c r="W400" s="55" t="s">
        <v>1409</v>
      </c>
      <c r="X400" s="112" t="s">
        <v>1615</v>
      </c>
    </row>
    <row r="401" spans="2:24" ht="15.75" x14ac:dyDescent="0.25">
      <c r="B401" s="70">
        <v>44322</v>
      </c>
      <c r="C401" s="70" t="str">
        <f>TEXT(VEND[[#This Row],[Fecha de Envío
Cotización]],"mmmm")</f>
        <v>mayo</v>
      </c>
      <c r="D401" s="66" t="s">
        <v>1163</v>
      </c>
      <c r="E401" s="125" t="s">
        <v>88</v>
      </c>
      <c r="F401" s="125" t="str">
        <f>IF(VEND[[#This Row],[STATUS]]="PERDIDO","N/A","En espera")</f>
        <v>En espera</v>
      </c>
      <c r="G401" s="125" t="str">
        <f>TEXT(VEND[[#This Row],[Fecha Recibe
O.C]],"mmmm")</f>
        <v>En espera</v>
      </c>
      <c r="H401" s="112">
        <v>4554</v>
      </c>
      <c r="I401" s="57" t="s">
        <v>1241</v>
      </c>
      <c r="J401" s="57"/>
      <c r="K401" s="64">
        <v>1</v>
      </c>
      <c r="L401" s="123">
        <v>14354.75</v>
      </c>
      <c r="M401" s="57"/>
      <c r="N401" s="112"/>
      <c r="O401" s="212" t="str">
        <f>IF(VEND[[#This Row],[STATUS]]="O.C",(VEND[[#This Row],[Fecha Recibe
O.C]]+VEND[[#This Row],[Dias
entrega ]]),"")</f>
        <v/>
      </c>
      <c r="P401" s="214"/>
      <c r="Q401" s="64" t="str">
        <f>IFERROR(VEND[[#This Row],[Fecha de Despacho]]-VEND[[#This Row],[Fecha Estimada de Entrega a  Cliente]],"")</f>
        <v/>
      </c>
      <c r="R4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1" s="57" t="str">
        <f>IF(VEND[[#This Row],[STATUS]]="O.C","APROBADO",IF(VEND[[#This Row],[STATUS]]="PERDIDO","PERDIDO",IF(VEND[[#This Row],[STATUS]]="EN ESPERA","EN ESPERA")))</f>
        <v>EN ESPERA</v>
      </c>
      <c r="T401" s="57" t="str">
        <f>IF(VEND[[#This Row],[STATUS]]="O.C","APROBADO",IF(VEND[[#This Row],[STATUS]]="PERDIDO","PERDIDO",IF(VEND[[#This Row],[STATUS]]="EN ESPERA","EN ESPERA")))</f>
        <v>EN ESPERA</v>
      </c>
      <c r="U401" s="55" t="s">
        <v>23</v>
      </c>
      <c r="V401" s="55" t="s">
        <v>23</v>
      </c>
      <c r="W401" s="55" t="s">
        <v>1409</v>
      </c>
      <c r="X401" s="57"/>
    </row>
    <row r="402" spans="2:24" ht="15.75" x14ac:dyDescent="0.25">
      <c r="B402" s="70">
        <v>44322</v>
      </c>
      <c r="C402" s="70" t="str">
        <f>TEXT(VEND[[#This Row],[Fecha de Envío
Cotización]],"mmmm")</f>
        <v>mayo</v>
      </c>
      <c r="D402" s="66" t="s">
        <v>945</v>
      </c>
      <c r="E402" s="125" t="s">
        <v>88</v>
      </c>
      <c r="F402" s="125" t="str">
        <f>IF(VEND[[#This Row],[STATUS]]="PERDIDO","N/A","En espera")</f>
        <v>En espera</v>
      </c>
      <c r="G402" s="125" t="str">
        <f>TEXT(VEND[[#This Row],[Fecha Recibe
O.C]],"mmmm")</f>
        <v>En espera</v>
      </c>
      <c r="H402" s="112">
        <v>6018</v>
      </c>
      <c r="I402" s="55" t="s">
        <v>31</v>
      </c>
      <c r="J402" s="57"/>
      <c r="K402" s="64">
        <v>1</v>
      </c>
      <c r="L402" s="123">
        <v>2772</v>
      </c>
      <c r="M402" s="112" t="s">
        <v>22</v>
      </c>
      <c r="N402" s="112">
        <v>0</v>
      </c>
      <c r="O402" s="212" t="str">
        <f>IF(VEND[[#This Row],[STATUS]]="O.C",(VEND[[#This Row],[Fecha Recibe
O.C]]+VEND[[#This Row],[Dias
entrega ]]),"")</f>
        <v/>
      </c>
      <c r="P402" s="214"/>
      <c r="Q402" s="64" t="str">
        <f>IFERROR(VEND[[#This Row],[Fecha de Despacho]]-VEND[[#This Row],[Fecha Estimada de Entrega a  Cliente]],"")</f>
        <v/>
      </c>
      <c r="R4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2" s="112" t="str">
        <f>IF(VEND[[#This Row],[STATUS]]="O.C","APROBADO",IF(VEND[[#This Row],[STATUS]]="PERDIDO","PERDIDO",IF(VEND[[#This Row],[STATUS]]="EN ESPERA","EN ESPERA")))</f>
        <v>EN ESPERA</v>
      </c>
      <c r="T402" s="112" t="str">
        <f>IF(VEND[[#This Row],[STATUS]]="O.C","APROBADO",IF(VEND[[#This Row],[STATUS]]="PERDIDO","PERDIDO",IF(VEND[[#This Row],[STATUS]]="EN ESPERA","EN ESPERA")))</f>
        <v>EN ESPERA</v>
      </c>
      <c r="U402" s="55" t="s">
        <v>23</v>
      </c>
      <c r="V402" s="55" t="s">
        <v>23</v>
      </c>
      <c r="W402" s="112" t="s">
        <v>1410</v>
      </c>
      <c r="X402" s="57"/>
    </row>
    <row r="403" spans="2:24" ht="15.75" x14ac:dyDescent="0.25">
      <c r="B403" s="70">
        <v>44322</v>
      </c>
      <c r="C403" s="70" t="str">
        <f>TEXT(VEND[[#This Row],[Fecha de Envío
Cotización]],"mmmm")</f>
        <v>mayo</v>
      </c>
      <c r="D403" s="66" t="s">
        <v>945</v>
      </c>
      <c r="E403" s="125" t="s">
        <v>42</v>
      </c>
      <c r="F403" s="125" t="str">
        <f>IF(VEND[[#This Row],[STATUS]]="PERDIDO","N/A","En espera")</f>
        <v>N/A</v>
      </c>
      <c r="G403" s="125" t="str">
        <f>TEXT(VEND[[#This Row],[Fecha Recibe
O.C]],"mmmm")</f>
        <v>N/A</v>
      </c>
      <c r="H403" s="112">
        <v>6020</v>
      </c>
      <c r="I403" s="112" t="s">
        <v>130</v>
      </c>
      <c r="J403" s="57"/>
      <c r="K403" s="64">
        <v>1</v>
      </c>
      <c r="L403" s="123">
        <v>279.08999999999997</v>
      </c>
      <c r="M403" s="112" t="s">
        <v>22</v>
      </c>
      <c r="N403" s="112">
        <v>0</v>
      </c>
      <c r="O403" s="212" t="str">
        <f>IF(VEND[[#This Row],[STATUS]]="O.C",(VEND[[#This Row],[Fecha Recibe
O.C]]+VEND[[#This Row],[Dias
entrega ]]),"")</f>
        <v/>
      </c>
      <c r="P403" s="214"/>
      <c r="Q403" s="64" t="str">
        <f>IFERROR(VEND[[#This Row],[Fecha de Despacho]]-VEND[[#This Row],[Fecha Estimada de Entrega a  Cliente]],"")</f>
        <v/>
      </c>
      <c r="R4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3" s="112" t="str">
        <f>IF(VEND[[#This Row],[STATUS]]="O.C","APROBADO",IF(VEND[[#This Row],[STATUS]]="PERDIDO","PERDIDO",IF(VEND[[#This Row],[STATUS]]="EN ESPERA","EN ESPERA")))</f>
        <v>PERDIDO</v>
      </c>
      <c r="T403" s="112" t="str">
        <f>IF(VEND[[#This Row],[STATUS]]="O.C","APROBADO",IF(VEND[[#This Row],[STATUS]]="PERDIDO","PERDIDO",IF(VEND[[#This Row],[STATUS]]="EN ESPERA","EN ESPERA")))</f>
        <v>PERDIDO</v>
      </c>
      <c r="U403" s="112" t="s">
        <v>23</v>
      </c>
      <c r="V403" s="112" t="s">
        <v>23</v>
      </c>
      <c r="W403" s="112" t="s">
        <v>1409</v>
      </c>
      <c r="X403" s="57"/>
    </row>
    <row r="404" spans="2:24" ht="15.75" x14ac:dyDescent="0.25">
      <c r="B404" s="71">
        <v>44322</v>
      </c>
      <c r="C404" s="71" t="str">
        <f>TEXT(VEND[[#This Row],[Fecha de Envío
Cotización]],"mmmm")</f>
        <v>mayo</v>
      </c>
      <c r="D404" s="66" t="s">
        <v>68</v>
      </c>
      <c r="E404" s="125" t="s">
        <v>88</v>
      </c>
      <c r="F404" s="115" t="str">
        <f>IF(VEND[[#This Row],[STATUS]]="PERDIDO","N/A","En espera")</f>
        <v>En espera</v>
      </c>
      <c r="G404" s="125" t="str">
        <f>TEXT(VEND[[#This Row],[Fecha Recibe
O.C]],"mmmm")</f>
        <v>En espera</v>
      </c>
      <c r="H404" s="112">
        <v>30890</v>
      </c>
      <c r="I404" s="112" t="s">
        <v>122</v>
      </c>
      <c r="J404" s="112"/>
      <c r="K404" s="58">
        <v>1</v>
      </c>
      <c r="L404" s="123">
        <v>11685</v>
      </c>
      <c r="M404" s="112" t="s">
        <v>22</v>
      </c>
      <c r="N404" s="112">
        <v>0</v>
      </c>
      <c r="O404" s="212" t="str">
        <f>IF(VEND[[#This Row],[STATUS]]="O.C",(VEND[[#This Row],[Fecha Recibe
O.C]]+VEND[[#This Row],[Dias
entrega ]]),"")</f>
        <v/>
      </c>
      <c r="P404" s="212"/>
      <c r="Q404" s="58" t="str">
        <f>IFERROR(VEND[[#This Row],[Fecha de Despacho]]-VEND[[#This Row],[Fecha Estimada de Entrega a  Cliente]],"")</f>
        <v/>
      </c>
      <c r="R4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4" s="112" t="str">
        <f>IF(VEND[[#This Row],[STATUS]]="O.C","APROBADO",IF(VEND[[#This Row],[STATUS]]="PERDIDO","PERDIDO",IF(VEND[[#This Row],[STATUS]]="EN ESPERA","EN ESPERA")))</f>
        <v>EN ESPERA</v>
      </c>
      <c r="T404" s="112" t="str">
        <f>IF(VEND[[#This Row],[STATUS]]="O.C","APROBADO",IF(VEND[[#This Row],[STATUS]]="PERDIDO","PERDIDO",IF(VEND[[#This Row],[STATUS]]="EN ESPERA","EN ESPERA")))</f>
        <v>EN ESPERA</v>
      </c>
      <c r="U404" s="55" t="s">
        <v>23</v>
      </c>
      <c r="V404" s="55" t="s">
        <v>23</v>
      </c>
      <c r="W404" s="112" t="s">
        <v>1402</v>
      </c>
      <c r="X404" s="112"/>
    </row>
    <row r="405" spans="2:24" s="50" customFormat="1" ht="15.75" x14ac:dyDescent="0.25">
      <c r="B405" s="70">
        <v>44322</v>
      </c>
      <c r="C405" s="70" t="str">
        <f>TEXT(VEND[[#This Row],[Fecha de Envío
Cotización]],"mmmm")</f>
        <v>mayo</v>
      </c>
      <c r="D405" s="66" t="s">
        <v>68</v>
      </c>
      <c r="E405" s="125" t="s">
        <v>83</v>
      </c>
      <c r="F405" s="125">
        <v>44323</v>
      </c>
      <c r="G405" s="125" t="str">
        <f>TEXT(VEND[[#This Row],[Fecha Recibe
O.C]],"mmmm")</f>
        <v>mayo</v>
      </c>
      <c r="H405" s="112">
        <v>30891</v>
      </c>
      <c r="I405" s="55" t="s">
        <v>122</v>
      </c>
      <c r="J405" s="57"/>
      <c r="K405" s="64">
        <v>1</v>
      </c>
      <c r="L405" s="123">
        <v>42.84</v>
      </c>
      <c r="M405" s="55" t="s">
        <v>22</v>
      </c>
      <c r="N405" s="112">
        <v>0</v>
      </c>
      <c r="O405" s="212">
        <f>IF(VEND[[#This Row],[STATUS]]="O.C",(VEND[[#This Row],[Fecha Recibe
O.C]]+VEND[[#This Row],[Dias
entrega ]]),"")</f>
        <v>44323</v>
      </c>
      <c r="P405" s="214">
        <v>44323</v>
      </c>
      <c r="Q405" s="64">
        <f>IFERROR(VEND[[#This Row],[Fecha de Despacho]]-VEND[[#This Row],[Fecha Estimada de Entrega a  Cliente]],"")</f>
        <v>0</v>
      </c>
      <c r="R4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5" s="57" t="str">
        <f>IF(VEND[[#This Row],[STATUS]]="O.C","APROBADO",IF(VEND[[#This Row],[STATUS]]="PERDIDO","PERDIDO",IF(VEND[[#This Row],[STATUS]]="EN ESPERA","EN ESPERA")))</f>
        <v>APROBADO</v>
      </c>
      <c r="T405" s="57" t="str">
        <f>IF(VEND[[#This Row],[STATUS]]="O.C","APROBADO",IF(VEND[[#This Row],[STATUS]]="PERDIDO","PERDIDO",IF(VEND[[#This Row],[STATUS]]="EN ESPERA","EN ESPERA")))</f>
        <v>APROBADO</v>
      </c>
      <c r="U405" s="55" t="s">
        <v>45</v>
      </c>
      <c r="V405" s="55" t="s">
        <v>46</v>
      </c>
      <c r="W405" s="55" t="s">
        <v>1402</v>
      </c>
      <c r="X405" s="57"/>
    </row>
    <row r="406" spans="2:24" s="105" customFormat="1" ht="15.75" x14ac:dyDescent="0.25">
      <c r="B406" s="71">
        <v>44322</v>
      </c>
      <c r="C406" s="71" t="str">
        <f>TEXT(VEND[[#This Row],[Fecha de Envío
Cotización]],"mmmm")</f>
        <v>mayo</v>
      </c>
      <c r="D406" s="66" t="s">
        <v>68</v>
      </c>
      <c r="E406" s="125" t="s">
        <v>88</v>
      </c>
      <c r="F406" s="125" t="str">
        <f>IF(VEND[[#This Row],[STATUS]]="PERDIDO","N/A","En espera")</f>
        <v>En espera</v>
      </c>
      <c r="G406" s="125" t="str">
        <f>TEXT(VEND[[#This Row],[Fecha Recibe
O.C]],"mmmm")</f>
        <v>En espera</v>
      </c>
      <c r="H406" s="112">
        <v>30895</v>
      </c>
      <c r="I406" s="112" t="s">
        <v>122</v>
      </c>
      <c r="J406" s="112"/>
      <c r="K406" s="58">
        <v>1</v>
      </c>
      <c r="L406" s="123">
        <v>828</v>
      </c>
      <c r="M406" s="112" t="s">
        <v>22</v>
      </c>
      <c r="N406" s="112">
        <v>0</v>
      </c>
      <c r="O406" s="212" t="str">
        <f>IF(VEND[[#This Row],[STATUS]]="O.C",(VEND[[#This Row],[Fecha Recibe
O.C]]+VEND[[#This Row],[Dias
entrega ]]),"")</f>
        <v/>
      </c>
      <c r="P406" s="212"/>
      <c r="Q406" s="58" t="str">
        <f>IFERROR(VEND[[#This Row],[Fecha de Despacho]]-VEND[[#This Row],[Fecha Estimada de Entrega a  Cliente]],"")</f>
        <v/>
      </c>
      <c r="R4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6" s="112" t="str">
        <f>IF(VEND[[#This Row],[STATUS]]="O.C","APROBADO",IF(VEND[[#This Row],[STATUS]]="PERDIDO","PERDIDO",IF(VEND[[#This Row],[STATUS]]="EN ESPERA","EN ESPERA")))</f>
        <v>EN ESPERA</v>
      </c>
      <c r="T406" s="112" t="str">
        <f>IF(VEND[[#This Row],[STATUS]]="O.C","APROBADO",IF(VEND[[#This Row],[STATUS]]="PERDIDO","PERDIDO",IF(VEND[[#This Row],[STATUS]]="EN ESPERA","EN ESPERA")))</f>
        <v>EN ESPERA</v>
      </c>
      <c r="U406" s="112" t="s">
        <v>23</v>
      </c>
      <c r="V406" s="112" t="s">
        <v>23</v>
      </c>
      <c r="W406" s="112" t="s">
        <v>1402</v>
      </c>
      <c r="X406" s="112"/>
    </row>
    <row r="407" spans="2:24" s="50" customFormat="1" ht="15.75" x14ac:dyDescent="0.25">
      <c r="B407" s="70">
        <v>44323</v>
      </c>
      <c r="C407" s="70" t="str">
        <f>TEXT(VEND[[#This Row],[Fecha de Envío
Cotización]],"mmmm")</f>
        <v>mayo</v>
      </c>
      <c r="D407" s="66" t="s">
        <v>50</v>
      </c>
      <c r="E407" s="125" t="s">
        <v>88</v>
      </c>
      <c r="F407" s="125" t="str">
        <f>IF(VEND[[#This Row],[STATUS]]="PERDIDO","N/A","En espera")</f>
        <v>En espera</v>
      </c>
      <c r="G407" s="125" t="str">
        <f>TEXT(VEND[[#This Row],[Fecha Recibe
O.C]],"mmmm")</f>
        <v>En espera</v>
      </c>
      <c r="H407" s="112">
        <v>1549</v>
      </c>
      <c r="I407" s="112" t="s">
        <v>33</v>
      </c>
      <c r="J407" s="57"/>
      <c r="K407" s="146">
        <v>1</v>
      </c>
      <c r="L407" s="123">
        <v>272.95</v>
      </c>
      <c r="M407" s="112" t="s">
        <v>51</v>
      </c>
      <c r="N407" s="112">
        <v>21</v>
      </c>
      <c r="O407" s="212" t="str">
        <f>IF(VEND[[#This Row],[STATUS]]="O.C",(VEND[[#This Row],[Fecha Recibe
O.C]]+VEND[[#This Row],[Dias
entrega ]]),"")</f>
        <v/>
      </c>
      <c r="P407" s="214"/>
      <c r="Q407" s="64" t="str">
        <f>IFERROR(VEND[[#This Row],[Fecha de Despacho]]-VEND[[#This Row],[Fecha Estimada de Entrega a  Cliente]],"")</f>
        <v/>
      </c>
      <c r="R4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7" s="112" t="str">
        <f>IF(VEND[[#This Row],[STATUS]]="O.C","APROBADO",IF(VEND[[#This Row],[STATUS]]="PERDIDO","PERDIDO",IF(VEND[[#This Row],[STATUS]]="EN ESPERA","EN ESPERA")))</f>
        <v>EN ESPERA</v>
      </c>
      <c r="T407" s="112" t="str">
        <f>IF(VEND[[#This Row],[STATUS]]="O.C","APROBADO",IF(VEND[[#This Row],[STATUS]]="PERDIDO","PERDIDO",IF(VEND[[#This Row],[STATUS]]="EN ESPERA","EN ESPERA")))</f>
        <v>EN ESPERA</v>
      </c>
      <c r="U407" s="55" t="s">
        <v>23</v>
      </c>
      <c r="V407" s="55" t="s">
        <v>23</v>
      </c>
      <c r="W407" s="55" t="s">
        <v>1402</v>
      </c>
      <c r="X407" s="57"/>
    </row>
    <row r="408" spans="2:24" s="50" customFormat="1" ht="15.75" x14ac:dyDescent="0.25">
      <c r="B408" s="71">
        <v>44323</v>
      </c>
      <c r="C408" s="71" t="str">
        <f>TEXT(VEND[[#This Row],[Fecha de Envío
Cotización]],"mmmm")</f>
        <v>mayo</v>
      </c>
      <c r="D408" s="66" t="s">
        <v>68</v>
      </c>
      <c r="E408" s="125" t="s">
        <v>83</v>
      </c>
      <c r="F408" s="125">
        <v>44343</v>
      </c>
      <c r="G408" s="125" t="str">
        <f>TEXT(VEND[[#This Row],[Fecha Recibe
O.C]],"mmmm")</f>
        <v>mayo</v>
      </c>
      <c r="H408" s="112">
        <v>2621</v>
      </c>
      <c r="I408" s="112" t="s">
        <v>91</v>
      </c>
      <c r="J408" s="112"/>
      <c r="K408" s="58">
        <v>5</v>
      </c>
      <c r="L408" s="123">
        <v>339.69</v>
      </c>
      <c r="M408" s="112" t="s">
        <v>73</v>
      </c>
      <c r="N408" s="112">
        <v>14</v>
      </c>
      <c r="O408" s="212">
        <f>IF(VEND[[#This Row],[STATUS]]="O.C",(VEND[[#This Row],[Fecha Recibe
O.C]]+VEND[[#This Row],[Dias
entrega ]]),"")</f>
        <v>44357</v>
      </c>
      <c r="P408" s="212"/>
      <c r="Q408" s="58">
        <f>IFERROR(VEND[[#This Row],[Fecha de Despacho]]-VEND[[#This Row],[Fecha Estimada de Entrega a  Cliente]],"")</f>
        <v>-44357</v>
      </c>
      <c r="R40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8" s="112" t="str">
        <f>IF(VEND[[#This Row],[STATUS]]="O.C","APROBADO",IF(VEND[[#This Row],[STATUS]]="PERDIDO","PERDIDO",IF(VEND[[#This Row],[STATUS]]="EN ESPERA","EN ESPERA")))</f>
        <v>APROBADO</v>
      </c>
      <c r="T408" s="112" t="str">
        <f>IF(VEND[[#This Row],[STATUS]]="O.C","APROBADO",IF(VEND[[#This Row],[STATUS]]="PERDIDO","PERDIDO",IF(VEND[[#This Row],[STATUS]]="EN ESPERA","EN ESPERA")))</f>
        <v>APROBADO</v>
      </c>
      <c r="U408" s="55" t="s">
        <v>46</v>
      </c>
      <c r="V408" s="55" t="s">
        <v>46</v>
      </c>
      <c r="W408" s="112" t="s">
        <v>1401</v>
      </c>
      <c r="X408" s="112" t="s">
        <v>1751</v>
      </c>
    </row>
    <row r="409" spans="2:24" s="50" customFormat="1" ht="15.75" x14ac:dyDescent="0.25">
      <c r="B409" s="70">
        <v>44323</v>
      </c>
      <c r="C409" s="70" t="str">
        <f>TEXT(VEND[[#This Row],[Fecha de Envío
Cotización]],"mmmm")</f>
        <v>mayo</v>
      </c>
      <c r="D409" s="66" t="s">
        <v>41</v>
      </c>
      <c r="E409" s="125" t="s">
        <v>88</v>
      </c>
      <c r="F409" s="92" t="str">
        <f>IF(VEND[[#This Row],[STATUS]]="PERDIDO","N/A","En espera")</f>
        <v>En espera</v>
      </c>
      <c r="G409" s="125" t="str">
        <f>TEXT(VEND[[#This Row],[Fecha Recibe
O.C]],"mmmm")</f>
        <v>En espera</v>
      </c>
      <c r="H409" s="112">
        <v>3513</v>
      </c>
      <c r="I409" s="112" t="s">
        <v>298</v>
      </c>
      <c r="J409" s="57"/>
      <c r="K409" s="64">
        <v>1</v>
      </c>
      <c r="L409" s="123">
        <v>199.69</v>
      </c>
      <c r="M409" s="112" t="s">
        <v>22</v>
      </c>
      <c r="N409" s="112">
        <v>0</v>
      </c>
      <c r="O409" s="212" t="str">
        <f>IF(VEND[[#This Row],[STATUS]]="O.C",(VEND[[#This Row],[Fecha Recibe
O.C]]+VEND[[#This Row],[Dias
entrega ]]),"")</f>
        <v/>
      </c>
      <c r="P409" s="214"/>
      <c r="Q409" s="64" t="str">
        <f>IFERROR(VEND[[#This Row],[Fecha de Despacho]]-VEND[[#This Row],[Fecha Estimada de Entrega a  Cliente]],"")</f>
        <v/>
      </c>
      <c r="R4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09" s="112" t="str">
        <f>IF(VEND[[#This Row],[STATUS]]="O.C","APROBADO",IF(VEND[[#This Row],[STATUS]]="PERDIDO","PERDIDO",IF(VEND[[#This Row],[STATUS]]="EN ESPERA","EN ESPERA")))</f>
        <v>EN ESPERA</v>
      </c>
      <c r="T409" s="112" t="str">
        <f>IF(VEND[[#This Row],[STATUS]]="O.C","APROBADO",IF(VEND[[#This Row],[STATUS]]="PERDIDO","PERDIDO",IF(VEND[[#This Row],[STATUS]]="EN ESPERA","EN ESPERA")))</f>
        <v>EN ESPERA</v>
      </c>
      <c r="U409" s="55" t="s">
        <v>23</v>
      </c>
      <c r="V409" s="55" t="s">
        <v>23</v>
      </c>
      <c r="W409" s="55" t="s">
        <v>1407</v>
      </c>
      <c r="X409" s="57"/>
    </row>
    <row r="410" spans="2:24" s="50" customFormat="1" ht="15.75" x14ac:dyDescent="0.25">
      <c r="B410" s="70">
        <v>44323</v>
      </c>
      <c r="C410" s="70" t="str">
        <f>TEXT(VEND[[#This Row],[Fecha de Envío
Cotización]],"mmmm")</f>
        <v>mayo</v>
      </c>
      <c r="D410" s="66" t="s">
        <v>945</v>
      </c>
      <c r="E410" s="92" t="s">
        <v>42</v>
      </c>
      <c r="F410" s="125" t="str">
        <f>IF(VEND[[#This Row],[STATUS]]="PERDIDO","N/A","En espera")</f>
        <v>N/A</v>
      </c>
      <c r="G410" s="125" t="str">
        <f>TEXT(VEND[[#This Row],[Fecha Recibe
O.C]],"mmmm")</f>
        <v>N/A</v>
      </c>
      <c r="H410" s="112">
        <v>6021</v>
      </c>
      <c r="I410" s="112" t="s">
        <v>130</v>
      </c>
      <c r="J410" s="57"/>
      <c r="K410" s="64">
        <v>2</v>
      </c>
      <c r="L410" s="123">
        <v>573.84</v>
      </c>
      <c r="M410" s="112" t="s">
        <v>15</v>
      </c>
      <c r="N410" s="112">
        <v>14</v>
      </c>
      <c r="O410" s="212" t="str">
        <f>IF(VEND[[#This Row],[STATUS]]="O.C",(VEND[[#This Row],[Fecha Recibe
O.C]]+VEND[[#This Row],[Dias
entrega ]]),"")</f>
        <v/>
      </c>
      <c r="P410" s="214"/>
      <c r="Q410" s="64" t="str">
        <f>IFERROR(VEND[[#This Row],[Fecha de Despacho]]-VEND[[#This Row],[Fecha Estimada de Entrega a  Cliente]],"")</f>
        <v/>
      </c>
      <c r="R4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0" s="112" t="str">
        <f>IF(VEND[[#This Row],[STATUS]]="O.C","APROBADO",IF(VEND[[#This Row],[STATUS]]="PERDIDO","PERDIDO",IF(VEND[[#This Row],[STATUS]]="EN ESPERA","EN ESPERA")))</f>
        <v>PERDIDO</v>
      </c>
      <c r="T410" s="112" t="str">
        <f>IF(VEND[[#This Row],[STATUS]]="O.C","APROBADO",IF(VEND[[#This Row],[STATUS]]="PERDIDO","PERDIDO",IF(VEND[[#This Row],[STATUS]]="EN ESPERA","EN ESPERA")))</f>
        <v>PERDIDO</v>
      </c>
      <c r="U410" s="55" t="s">
        <v>23</v>
      </c>
      <c r="V410" s="55" t="s">
        <v>23</v>
      </c>
      <c r="W410" s="55" t="s">
        <v>1409</v>
      </c>
      <c r="X410" s="57"/>
    </row>
    <row r="411" spans="2:24" s="50" customFormat="1" ht="15.75" x14ac:dyDescent="0.25">
      <c r="B411" s="235">
        <v>44326</v>
      </c>
      <c r="C411" s="100" t="str">
        <f>TEXT(VEND[[#This Row],[Fecha de Envío
Cotización]],"mmmm")</f>
        <v>mayo</v>
      </c>
      <c r="D411" s="66" t="s">
        <v>1163</v>
      </c>
      <c r="E411" s="92" t="s">
        <v>83</v>
      </c>
      <c r="F411" s="93">
        <v>44328</v>
      </c>
      <c r="G411" s="93" t="str">
        <f>TEXT(VEND[[#This Row],[Fecha Recibe
O.C]],"mmmm")</f>
        <v>mayo</v>
      </c>
      <c r="H411" s="112">
        <v>16</v>
      </c>
      <c r="I411" s="101" t="s">
        <v>1242</v>
      </c>
      <c r="J411" s="101"/>
      <c r="K411" s="102">
        <v>8</v>
      </c>
      <c r="L411" s="123">
        <v>8800</v>
      </c>
      <c r="M411" s="101"/>
      <c r="N411" s="112"/>
      <c r="O411" s="215">
        <f>IF(VEND[[#This Row],[STATUS]]="O.C",(VEND[[#This Row],[Fecha Recibe
O.C]]+VEND[[#This Row],[Dias
entrega ]]),"")</f>
        <v>44328</v>
      </c>
      <c r="P411" s="215"/>
      <c r="Q411" s="102">
        <f>IFERROR(VEND[[#This Row],[Fecha de Despacho]]-VEND[[#This Row],[Fecha Estimada de Entrega a  Cliente]],"")</f>
        <v>-44328</v>
      </c>
      <c r="R4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1" s="101" t="str">
        <f>IF(VEND[[#This Row],[STATUS]]="O.C","APROBADO",IF(VEND[[#This Row],[STATUS]]="PERDIDO","PERDIDO",IF(VEND[[#This Row],[STATUS]]="EN ESPERA","EN ESPERA")))</f>
        <v>APROBADO</v>
      </c>
      <c r="T411" s="101" t="str">
        <f>IF(VEND[[#This Row],[STATUS]]="O.C","APROBADO",IF(VEND[[#This Row],[STATUS]]="PERDIDO","PERDIDO",IF(VEND[[#This Row],[STATUS]]="EN ESPERA","EN ESPERA")))</f>
        <v>APROBADO</v>
      </c>
      <c r="U411" s="55" t="s">
        <v>46</v>
      </c>
      <c r="V411" s="55" t="s">
        <v>46</v>
      </c>
      <c r="W411" s="55" t="s">
        <v>1401</v>
      </c>
      <c r="X411" s="101">
        <v>1055</v>
      </c>
    </row>
    <row r="412" spans="2:24" ht="15.75" x14ac:dyDescent="0.25">
      <c r="B412" s="100">
        <v>44326</v>
      </c>
      <c r="C412" s="100" t="str">
        <f>TEXT(VEND[[#This Row],[Fecha de Envío
Cotización]],"mmmm")</f>
        <v>mayo</v>
      </c>
      <c r="D412" s="66" t="s">
        <v>1163</v>
      </c>
      <c r="E412" s="92" t="s">
        <v>88</v>
      </c>
      <c r="F412" s="125" t="str">
        <f>IF(VEND[[#This Row],[STATUS]]="PERDIDO","N/A","En espera")</f>
        <v>En espera</v>
      </c>
      <c r="G412" s="93" t="str">
        <f>TEXT(VEND[[#This Row],[Fecha Recibe
O.C]],"mmmm")</f>
        <v>En espera</v>
      </c>
      <c r="H412" s="112">
        <v>18</v>
      </c>
      <c r="I412" s="101" t="s">
        <v>1241</v>
      </c>
      <c r="J412" s="101"/>
      <c r="K412" s="102">
        <v>2</v>
      </c>
      <c r="L412" s="123">
        <v>9360</v>
      </c>
      <c r="M412" s="101"/>
      <c r="N412" s="112"/>
      <c r="O412" s="212" t="str">
        <f>IF(VEND[[#This Row],[STATUS]]="O.C",(VEND[[#This Row],[Fecha Recibe
O.C]]+VEND[[#This Row],[Dias
entrega ]]),"")</f>
        <v/>
      </c>
      <c r="P412" s="215"/>
      <c r="Q412" s="102" t="str">
        <f>IFERROR(VEND[[#This Row],[Fecha de Despacho]]-VEND[[#This Row],[Fecha Estimada de Entrega a  Cliente]],"")</f>
        <v/>
      </c>
      <c r="R4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2" s="101" t="str">
        <f>IF(VEND[[#This Row],[STATUS]]="O.C","APROBADO",IF(VEND[[#This Row],[STATUS]]="PERDIDO","PERDIDO",IF(VEND[[#This Row],[STATUS]]="EN ESPERA","EN ESPERA")))</f>
        <v>EN ESPERA</v>
      </c>
      <c r="T412" s="101" t="str">
        <f>IF(VEND[[#This Row],[STATUS]]="O.C","APROBADO",IF(VEND[[#This Row],[STATUS]]="PERDIDO","PERDIDO",IF(VEND[[#This Row],[STATUS]]="EN ESPERA","EN ESPERA")))</f>
        <v>EN ESPERA</v>
      </c>
      <c r="U412" s="55" t="s">
        <v>23</v>
      </c>
      <c r="V412" s="55" t="s">
        <v>23</v>
      </c>
      <c r="W412" s="55" t="s">
        <v>1409</v>
      </c>
      <c r="X412" s="101"/>
    </row>
    <row r="413" spans="2:24" s="50" customFormat="1" ht="15.75" x14ac:dyDescent="0.25">
      <c r="B413" s="71">
        <v>44326</v>
      </c>
      <c r="C413" s="71" t="str">
        <f>TEXT(VEND[[#This Row],[Fecha de Envío
Cotización]],"mmmm")</f>
        <v>mayo</v>
      </c>
      <c r="D413" s="66" t="s">
        <v>50</v>
      </c>
      <c r="E413" s="125" t="s">
        <v>88</v>
      </c>
      <c r="F413" s="125" t="str">
        <f>IF(VEND[[#This Row],[STATUS]]="PERDIDO","N/A","En espera")</f>
        <v>En espera</v>
      </c>
      <c r="G413" s="125" t="str">
        <f>TEXT(VEND[[#This Row],[Fecha Recibe
O.C]],"mmmm")</f>
        <v>En espera</v>
      </c>
      <c r="H413" s="112">
        <v>1550</v>
      </c>
      <c r="I413" s="57" t="s">
        <v>283</v>
      </c>
      <c r="J413" s="112"/>
      <c r="K413" s="58">
        <v>1</v>
      </c>
      <c r="L413" s="123">
        <v>6430.62</v>
      </c>
      <c r="M413" s="112" t="s">
        <v>51</v>
      </c>
      <c r="N413" s="112">
        <v>21</v>
      </c>
      <c r="O413" s="212" t="str">
        <f>IF(VEND[[#This Row],[STATUS]]="O.C",(VEND[[#This Row],[Fecha Recibe
O.C]]+VEND[[#This Row],[Dias
entrega ]]),"")</f>
        <v/>
      </c>
      <c r="P413" s="212"/>
      <c r="Q413" s="58" t="str">
        <f>IFERROR(VEND[[#This Row],[Fecha de Despacho]]-VEND[[#This Row],[Fecha Estimada de Entrega a  Cliente]],"")</f>
        <v/>
      </c>
      <c r="R4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3" s="112" t="str">
        <f>IF(VEND[[#This Row],[STATUS]]="O.C","APROBADO",IF(VEND[[#This Row],[STATUS]]="PERDIDO","PERDIDO",IF(VEND[[#This Row],[STATUS]]="EN ESPERA","EN ESPERA")))</f>
        <v>EN ESPERA</v>
      </c>
      <c r="T413" s="112" t="str">
        <f>IF(VEND[[#This Row],[STATUS]]="O.C","APROBADO",IF(VEND[[#This Row],[STATUS]]="PERDIDO","PERDIDO",IF(VEND[[#This Row],[STATUS]]="EN ESPERA","EN ESPERA")))</f>
        <v>EN ESPERA</v>
      </c>
      <c r="U413" s="55" t="s">
        <v>23</v>
      </c>
      <c r="V413" s="55" t="s">
        <v>23</v>
      </c>
      <c r="W413" s="55" t="s">
        <v>1404</v>
      </c>
      <c r="X413" s="112"/>
    </row>
    <row r="414" spans="2:24" s="50" customFormat="1" ht="15.75" x14ac:dyDescent="0.25">
      <c r="B414" s="71">
        <v>44326</v>
      </c>
      <c r="C414" s="71" t="str">
        <f>TEXT(VEND[[#This Row],[Fecha de Envío
Cotización]],"mmmm")</f>
        <v>mayo</v>
      </c>
      <c r="D414" s="66" t="s">
        <v>50</v>
      </c>
      <c r="E414" s="125" t="s">
        <v>88</v>
      </c>
      <c r="F414" s="125" t="str">
        <f>IF(VEND[[#This Row],[STATUS]]="PERDIDO","N/A","En espera")</f>
        <v>En espera</v>
      </c>
      <c r="G414" s="125" t="str">
        <f>TEXT(VEND[[#This Row],[Fecha Recibe
O.C]],"mmmm")</f>
        <v>En espera</v>
      </c>
      <c r="H414" s="112">
        <v>1552</v>
      </c>
      <c r="I414" s="112" t="s">
        <v>33</v>
      </c>
      <c r="J414" s="112"/>
      <c r="K414" s="145">
        <v>1</v>
      </c>
      <c r="L414" s="123">
        <v>966.56</v>
      </c>
      <c r="M414" s="112" t="s">
        <v>51</v>
      </c>
      <c r="N414" s="112">
        <v>21</v>
      </c>
      <c r="O414" s="212" t="str">
        <f>IF(VEND[[#This Row],[STATUS]]="O.C",(VEND[[#This Row],[Fecha Recibe
O.C]]+VEND[[#This Row],[Dias
entrega ]]),"")</f>
        <v/>
      </c>
      <c r="P414" s="212"/>
      <c r="Q414" s="58" t="str">
        <f>IFERROR(VEND[[#This Row],[Fecha de Despacho]]-VEND[[#This Row],[Fecha Estimada de Entrega a  Cliente]],"")</f>
        <v/>
      </c>
      <c r="R4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4" s="112" t="str">
        <f>IF(VEND[[#This Row],[STATUS]]="O.C","APROBADO",IF(VEND[[#This Row],[STATUS]]="PERDIDO","PERDIDO",IF(VEND[[#This Row],[STATUS]]="EN ESPERA","EN ESPERA")))</f>
        <v>EN ESPERA</v>
      </c>
      <c r="T414" s="112" t="str">
        <f>IF(VEND[[#This Row],[STATUS]]="O.C","APROBADO",IF(VEND[[#This Row],[STATUS]]="PERDIDO","PERDIDO",IF(VEND[[#This Row],[STATUS]]="EN ESPERA","EN ESPERA")))</f>
        <v>EN ESPERA</v>
      </c>
      <c r="U414" s="55" t="s">
        <v>23</v>
      </c>
      <c r="V414" s="55" t="s">
        <v>23</v>
      </c>
      <c r="W414" s="112" t="s">
        <v>1402</v>
      </c>
      <c r="X414" s="112"/>
    </row>
    <row r="415" spans="2:24" s="50" customFormat="1" ht="15.75" x14ac:dyDescent="0.25">
      <c r="B415" s="71">
        <v>44326</v>
      </c>
      <c r="C415" s="71" t="str">
        <f>TEXT(VEND[[#This Row],[Fecha de Envío
Cotización]],"mmmm")</f>
        <v>mayo</v>
      </c>
      <c r="D415" s="66" t="s">
        <v>50</v>
      </c>
      <c r="E415" s="125" t="s">
        <v>83</v>
      </c>
      <c r="F415" s="125">
        <v>44329</v>
      </c>
      <c r="G415" s="125" t="str">
        <f>TEXT(VEND[[#This Row],[Fecha Recibe
O.C]],"mmmm")</f>
        <v>mayo</v>
      </c>
      <c r="H415" s="112">
        <v>1553</v>
      </c>
      <c r="I415" s="57" t="s">
        <v>283</v>
      </c>
      <c r="J415" s="112"/>
      <c r="K415" s="58">
        <v>2</v>
      </c>
      <c r="L415" s="123">
        <v>3160.35</v>
      </c>
      <c r="M415" s="55" t="s">
        <v>22</v>
      </c>
      <c r="N415" s="112">
        <v>0</v>
      </c>
      <c r="O415" s="212">
        <f>IF(VEND[[#This Row],[STATUS]]="O.C",(VEND[[#This Row],[Fecha Recibe
O.C]]+VEND[[#This Row],[Dias
entrega ]]),"")</f>
        <v>44329</v>
      </c>
      <c r="P415" s="212">
        <v>44335</v>
      </c>
      <c r="Q415" s="58">
        <f>IFERROR(VEND[[#This Row],[Fecha de Despacho]]-VEND[[#This Row],[Fecha Estimada de Entrega a  Cliente]],"")</f>
        <v>6</v>
      </c>
      <c r="R4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415" s="112" t="str">
        <f>IF(VEND[[#This Row],[STATUS]]="O.C","APROBADO",IF(VEND[[#This Row],[STATUS]]="PERDIDO","PERDIDO",IF(VEND[[#This Row],[STATUS]]="EN ESPERA","EN ESPERA")))</f>
        <v>APROBADO</v>
      </c>
      <c r="T415" s="112" t="str">
        <f>IF(VEND[[#This Row],[STATUS]]="O.C","APROBADO",IF(VEND[[#This Row],[STATUS]]="PERDIDO","PERDIDO",IF(VEND[[#This Row],[STATUS]]="EN ESPERA","EN ESPERA")))</f>
        <v>APROBADO</v>
      </c>
      <c r="U415" s="55" t="s">
        <v>45</v>
      </c>
      <c r="V415" s="55" t="s">
        <v>47</v>
      </c>
      <c r="W415" s="55" t="s">
        <v>1404</v>
      </c>
      <c r="X415" s="112"/>
    </row>
    <row r="416" spans="2:24" s="50" customFormat="1" ht="15.75" x14ac:dyDescent="0.25">
      <c r="B416" s="71">
        <v>44326</v>
      </c>
      <c r="C416" s="71" t="str">
        <f>TEXT(VEND[[#This Row],[Fecha de Envío
Cotización]],"mmmm")</f>
        <v>mayo</v>
      </c>
      <c r="D416" s="66" t="s">
        <v>41</v>
      </c>
      <c r="E416" s="125" t="s">
        <v>42</v>
      </c>
      <c r="F416" s="125" t="str">
        <f>IF(VEND[[#This Row],[STATUS]]="PERDIDO","N/A","En espera")</f>
        <v>N/A</v>
      </c>
      <c r="G416" s="93" t="str">
        <f>TEXT(VEND[[#This Row],[Fecha Recibe
O.C]],"mmmm")</f>
        <v>N/A</v>
      </c>
      <c r="H416" s="112">
        <v>3514</v>
      </c>
      <c r="I416" s="57" t="s">
        <v>1390</v>
      </c>
      <c r="J416" s="112"/>
      <c r="K416" s="58">
        <v>1</v>
      </c>
      <c r="L416" s="123">
        <v>4840.8</v>
      </c>
      <c r="M416" s="112" t="s">
        <v>73</v>
      </c>
      <c r="N416" s="112">
        <v>14</v>
      </c>
      <c r="O416" s="212" t="str">
        <f>IF(VEND[[#This Row],[STATUS]]="O.C",(VEND[[#This Row],[Fecha Recibe
O.C]]+VEND[[#This Row],[Dias
entrega ]]),"")</f>
        <v/>
      </c>
      <c r="P416" s="212"/>
      <c r="Q416" s="58" t="str">
        <f>IFERROR(VEND[[#This Row],[Fecha de Despacho]]-VEND[[#This Row],[Fecha Estimada de Entrega a  Cliente]],"")</f>
        <v/>
      </c>
      <c r="R4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6" s="112" t="str">
        <f>IF(VEND[[#This Row],[STATUS]]="O.C","APROBADO",IF(VEND[[#This Row],[STATUS]]="PERDIDO","PERDIDO",IF(VEND[[#This Row],[STATUS]]="EN ESPERA","EN ESPERA")))</f>
        <v>PERDIDO</v>
      </c>
      <c r="T416" s="112" t="str">
        <f>IF(VEND[[#This Row],[STATUS]]="O.C","APROBADO",IF(VEND[[#This Row],[STATUS]]="PERDIDO","PERDIDO",IF(VEND[[#This Row],[STATUS]]="EN ESPERA","EN ESPERA")))</f>
        <v>PERDIDO</v>
      </c>
      <c r="U416" s="55" t="s">
        <v>23</v>
      </c>
      <c r="V416" s="55" t="s">
        <v>23</v>
      </c>
      <c r="W416" s="55" t="s">
        <v>1408</v>
      </c>
      <c r="X416" s="112"/>
    </row>
    <row r="417" spans="2:24" s="50" customFormat="1" ht="15.75" x14ac:dyDescent="0.25">
      <c r="B417" s="71">
        <v>44326</v>
      </c>
      <c r="C417" s="71" t="str">
        <f>TEXT(VEND[[#This Row],[Fecha de Envío
Cotización]],"mmmm")</f>
        <v>mayo</v>
      </c>
      <c r="D417" s="66" t="s">
        <v>41</v>
      </c>
      <c r="E417" s="125" t="s">
        <v>88</v>
      </c>
      <c r="F417" s="125" t="str">
        <f>IF(VEND[[#This Row],[STATUS]]="PERDIDO","N/A","En espera")</f>
        <v>En espera</v>
      </c>
      <c r="G417" s="93" t="str">
        <f>TEXT(VEND[[#This Row],[Fecha Recibe
O.C]],"mmmm")</f>
        <v>En espera</v>
      </c>
      <c r="H417" s="112">
        <v>3515</v>
      </c>
      <c r="I417" s="112" t="s">
        <v>94</v>
      </c>
      <c r="J417" s="112"/>
      <c r="K417" s="58">
        <v>1</v>
      </c>
      <c r="L417" s="123">
        <v>64.16</v>
      </c>
      <c r="M417" s="112" t="s">
        <v>73</v>
      </c>
      <c r="N417" s="112">
        <v>14</v>
      </c>
      <c r="O417" s="212" t="str">
        <f>IF(VEND[[#This Row],[STATUS]]="O.C",(VEND[[#This Row],[Fecha Recibe
O.C]]+VEND[[#This Row],[Dias
entrega ]]),"")</f>
        <v/>
      </c>
      <c r="P417" s="212"/>
      <c r="Q417" s="58" t="str">
        <f>IFERROR(VEND[[#This Row],[Fecha de Despacho]]-VEND[[#This Row],[Fecha Estimada de Entrega a  Cliente]],"")</f>
        <v/>
      </c>
      <c r="R4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7" s="112" t="str">
        <f>IF(VEND[[#This Row],[STATUS]]="O.C","APROBADO",IF(VEND[[#This Row],[STATUS]]="PERDIDO","PERDIDO",IF(VEND[[#This Row],[STATUS]]="EN ESPERA","EN ESPERA")))</f>
        <v>EN ESPERA</v>
      </c>
      <c r="T417" s="112" t="str">
        <f>IF(VEND[[#This Row],[STATUS]]="O.C","APROBADO",IF(VEND[[#This Row],[STATUS]]="PERDIDO","PERDIDO",IF(VEND[[#This Row],[STATUS]]="EN ESPERA","EN ESPERA")))</f>
        <v>EN ESPERA</v>
      </c>
      <c r="U417" s="55" t="s">
        <v>23</v>
      </c>
      <c r="V417" s="55" t="s">
        <v>23</v>
      </c>
      <c r="W417" s="112" t="s">
        <v>1409</v>
      </c>
      <c r="X417" s="112"/>
    </row>
    <row r="418" spans="2:24" s="50" customFormat="1" ht="15.75" x14ac:dyDescent="0.25">
      <c r="B418" s="71">
        <v>44326</v>
      </c>
      <c r="C418" s="71" t="str">
        <f>TEXT(VEND[[#This Row],[Fecha de Envío
Cotización]],"mmmm")</f>
        <v>mayo</v>
      </c>
      <c r="D418" s="66" t="s">
        <v>41</v>
      </c>
      <c r="E418" s="125" t="s">
        <v>88</v>
      </c>
      <c r="F418" s="125" t="str">
        <f>IF(VEND[[#This Row],[STATUS]]="PERDIDO","N/A","En espera")</f>
        <v>En espera</v>
      </c>
      <c r="G418" s="93" t="str">
        <f>TEXT(VEND[[#This Row],[Fecha Recibe
O.C]],"mmmm")</f>
        <v>En espera</v>
      </c>
      <c r="H418" s="112">
        <v>3516</v>
      </c>
      <c r="I418" s="112" t="s">
        <v>94</v>
      </c>
      <c r="J418" s="112"/>
      <c r="K418" s="58">
        <v>2</v>
      </c>
      <c r="L418" s="123">
        <v>145.19999999999999</v>
      </c>
      <c r="M418" s="112" t="s">
        <v>73</v>
      </c>
      <c r="N418" s="112">
        <v>14</v>
      </c>
      <c r="O418" s="212" t="str">
        <f>IF(VEND[[#This Row],[STATUS]]="O.C",(VEND[[#This Row],[Fecha Recibe
O.C]]+VEND[[#This Row],[Dias
entrega ]]),"")</f>
        <v/>
      </c>
      <c r="P418" s="212"/>
      <c r="Q418" s="58" t="str">
        <f>IFERROR(VEND[[#This Row],[Fecha de Despacho]]-VEND[[#This Row],[Fecha Estimada de Entrega a  Cliente]],"")</f>
        <v/>
      </c>
      <c r="R4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8" s="112" t="str">
        <f>IF(VEND[[#This Row],[STATUS]]="O.C","APROBADO",IF(VEND[[#This Row],[STATUS]]="PERDIDO","PERDIDO",IF(VEND[[#This Row],[STATUS]]="EN ESPERA","EN ESPERA")))</f>
        <v>EN ESPERA</v>
      </c>
      <c r="T418" s="112" t="str">
        <f>IF(VEND[[#This Row],[STATUS]]="O.C","APROBADO",IF(VEND[[#This Row],[STATUS]]="PERDIDO","PERDIDO",IF(VEND[[#This Row],[STATUS]]="EN ESPERA","EN ESPERA")))</f>
        <v>EN ESPERA</v>
      </c>
      <c r="U418" s="55" t="s">
        <v>23</v>
      </c>
      <c r="V418" s="55" t="s">
        <v>23</v>
      </c>
      <c r="W418" s="55" t="s">
        <v>1409</v>
      </c>
      <c r="X418" s="112"/>
    </row>
    <row r="419" spans="2:24" s="50" customFormat="1" ht="15.75" x14ac:dyDescent="0.25">
      <c r="B419" s="71">
        <v>44326</v>
      </c>
      <c r="C419" s="71" t="str">
        <f>TEXT(VEND[[#This Row],[Fecha de Envío
Cotización]],"mmmm")</f>
        <v>mayo</v>
      </c>
      <c r="D419" s="66" t="s">
        <v>41</v>
      </c>
      <c r="E419" s="125" t="s">
        <v>88</v>
      </c>
      <c r="F419" s="125" t="str">
        <f>IF(VEND[[#This Row],[STATUS]]="PERDIDO","N/A","En espera")</f>
        <v>En espera</v>
      </c>
      <c r="G419" s="93" t="str">
        <f>TEXT(VEND[[#This Row],[Fecha Recibe
O.C]],"mmmm")</f>
        <v>En espera</v>
      </c>
      <c r="H419" s="112">
        <v>3517</v>
      </c>
      <c r="I419" s="57" t="s">
        <v>298</v>
      </c>
      <c r="J419" s="112"/>
      <c r="K419" s="58">
        <v>1</v>
      </c>
      <c r="L419" s="123">
        <v>736.56</v>
      </c>
      <c r="M419" s="112" t="s">
        <v>73</v>
      </c>
      <c r="N419" s="112">
        <v>14</v>
      </c>
      <c r="O419" s="212" t="str">
        <f>IF(VEND[[#This Row],[STATUS]]="O.C",(VEND[[#This Row],[Fecha Recibe
O.C]]+VEND[[#This Row],[Dias
entrega ]]),"")</f>
        <v/>
      </c>
      <c r="P419" s="212"/>
      <c r="Q419" s="58" t="str">
        <f>IFERROR(VEND[[#This Row],[Fecha de Despacho]]-VEND[[#This Row],[Fecha Estimada de Entrega a  Cliente]],"")</f>
        <v/>
      </c>
      <c r="R4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19" s="112" t="str">
        <f>IF(VEND[[#This Row],[STATUS]]="O.C","APROBADO",IF(VEND[[#This Row],[STATUS]]="PERDIDO","PERDIDO",IF(VEND[[#This Row],[STATUS]]="EN ESPERA","EN ESPERA")))</f>
        <v>EN ESPERA</v>
      </c>
      <c r="T419" s="112" t="str">
        <f>IF(VEND[[#This Row],[STATUS]]="O.C","APROBADO",IF(VEND[[#This Row],[STATUS]]="PERDIDO","PERDIDO",IF(VEND[[#This Row],[STATUS]]="EN ESPERA","EN ESPERA")))</f>
        <v>EN ESPERA</v>
      </c>
      <c r="U419" s="55" t="s">
        <v>23</v>
      </c>
      <c r="V419" s="55" t="s">
        <v>23</v>
      </c>
      <c r="W419" s="55" t="s">
        <v>1407</v>
      </c>
      <c r="X419" s="112"/>
    </row>
    <row r="420" spans="2:24" s="50" customFormat="1" ht="15.75" x14ac:dyDescent="0.25">
      <c r="B420" s="71">
        <v>44326</v>
      </c>
      <c r="C420" s="71" t="str">
        <f>TEXT(VEND[[#This Row],[Fecha de Envío
Cotización]],"mmmm")</f>
        <v>mayo</v>
      </c>
      <c r="D420" s="66" t="s">
        <v>41</v>
      </c>
      <c r="E420" s="125" t="s">
        <v>42</v>
      </c>
      <c r="F420" s="125" t="str">
        <f>IF(VEND[[#This Row],[STATUS]]="PERDIDO","N/A","En espera")</f>
        <v>N/A</v>
      </c>
      <c r="G420" s="93" t="str">
        <f>TEXT(VEND[[#This Row],[Fecha Recibe
O.C]],"mmmm")</f>
        <v>N/A</v>
      </c>
      <c r="H420" s="112">
        <v>3518</v>
      </c>
      <c r="I420" s="112" t="s">
        <v>40</v>
      </c>
      <c r="J420" s="112"/>
      <c r="K420" s="58">
        <v>1</v>
      </c>
      <c r="L420" s="123">
        <v>1610.58</v>
      </c>
      <c r="M420" s="112" t="s">
        <v>73</v>
      </c>
      <c r="N420" s="112">
        <v>14</v>
      </c>
      <c r="O420" s="212" t="str">
        <f>IF(VEND[[#This Row],[STATUS]]="O.C",(VEND[[#This Row],[Fecha Recibe
O.C]]+VEND[[#This Row],[Dias
entrega ]]),"")</f>
        <v/>
      </c>
      <c r="P420" s="212"/>
      <c r="Q420" s="58" t="str">
        <f>IFERROR(VEND[[#This Row],[Fecha de Despacho]]-VEND[[#This Row],[Fecha Estimada de Entrega a  Cliente]],"")</f>
        <v/>
      </c>
      <c r="R4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0" s="112" t="str">
        <f>IF(VEND[[#This Row],[STATUS]]="O.C","APROBADO",IF(VEND[[#This Row],[STATUS]]="PERDIDO","PERDIDO",IF(VEND[[#This Row],[STATUS]]="EN ESPERA","EN ESPERA")))</f>
        <v>PERDIDO</v>
      </c>
      <c r="T420" s="112" t="str">
        <f>IF(VEND[[#This Row],[STATUS]]="O.C","APROBADO",IF(VEND[[#This Row],[STATUS]]="PERDIDO","PERDIDO",IF(VEND[[#This Row],[STATUS]]="EN ESPERA","EN ESPERA")))</f>
        <v>PERDIDO</v>
      </c>
      <c r="U420" s="55" t="s">
        <v>23</v>
      </c>
      <c r="V420" s="55" t="s">
        <v>23</v>
      </c>
      <c r="W420" s="55" t="s">
        <v>1401</v>
      </c>
      <c r="X420" s="112"/>
    </row>
    <row r="421" spans="2:24" s="50" customFormat="1" ht="15.75" x14ac:dyDescent="0.25">
      <c r="B421" s="235">
        <v>44326</v>
      </c>
      <c r="C421" s="100" t="str">
        <f>TEXT(VEND[[#This Row],[Fecha de Envío
Cotización]],"mmmm")</f>
        <v>mayo</v>
      </c>
      <c r="D421" s="66" t="s">
        <v>1163</v>
      </c>
      <c r="E421" s="125" t="s">
        <v>83</v>
      </c>
      <c r="F421" s="93">
        <v>44333</v>
      </c>
      <c r="G421" s="93" t="str">
        <f>TEXT(VEND[[#This Row],[Fecha Recibe
O.C]],"mmmm")</f>
        <v>mayo</v>
      </c>
      <c r="H421" s="112">
        <v>4555</v>
      </c>
      <c r="I421" s="101" t="s">
        <v>1241</v>
      </c>
      <c r="J421" s="101"/>
      <c r="K421" s="102">
        <v>1</v>
      </c>
      <c r="L421" s="123">
        <v>411.64</v>
      </c>
      <c r="M421" s="101"/>
      <c r="N421" s="112"/>
      <c r="O421" s="215">
        <f>IF(VEND[[#This Row],[STATUS]]="O.C",(VEND[[#This Row],[Fecha Recibe
O.C]]+VEND[[#This Row],[Dias
entrega ]]),"")</f>
        <v>44333</v>
      </c>
      <c r="P421" s="215">
        <v>44378</v>
      </c>
      <c r="Q421" s="102">
        <f>IFERROR(VEND[[#This Row],[Fecha de Despacho]]-VEND[[#This Row],[Fecha Estimada de Entrega a  Cliente]],"")</f>
        <v>45</v>
      </c>
      <c r="R4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421" s="101" t="str">
        <f>IF(VEND[[#This Row],[STATUS]]="O.C","APROBADO",IF(VEND[[#This Row],[STATUS]]="PERDIDO","PERDIDO",IF(VEND[[#This Row],[STATUS]]="EN ESPERA","EN ESPERA")))</f>
        <v>APROBADO</v>
      </c>
      <c r="T421" s="101" t="str">
        <f>IF(VEND[[#This Row],[STATUS]]="O.C","APROBADO",IF(VEND[[#This Row],[STATUS]]="PERDIDO","PERDIDO",IF(VEND[[#This Row],[STATUS]]="EN ESPERA","EN ESPERA")))</f>
        <v>APROBADO</v>
      </c>
      <c r="U421" s="55" t="s">
        <v>45</v>
      </c>
      <c r="V421" s="55" t="s">
        <v>46</v>
      </c>
      <c r="W421" s="55" t="s">
        <v>1409</v>
      </c>
      <c r="X421" s="112" t="s">
        <v>1509</v>
      </c>
    </row>
    <row r="422" spans="2:24" s="50" customFormat="1" ht="15.75" x14ac:dyDescent="0.25">
      <c r="B422" s="235">
        <v>44326</v>
      </c>
      <c r="C422" s="100" t="str">
        <f>TEXT(VEND[[#This Row],[Fecha de Envío
Cotización]],"mmmm")</f>
        <v>mayo</v>
      </c>
      <c r="D422" s="66" t="s">
        <v>1163</v>
      </c>
      <c r="E422" s="125" t="s">
        <v>83</v>
      </c>
      <c r="F422" s="93">
        <v>44336</v>
      </c>
      <c r="G422" s="93" t="str">
        <f>TEXT(VEND[[#This Row],[Fecha Recibe
O.C]],"mmmm")</f>
        <v>mayo</v>
      </c>
      <c r="H422" s="112">
        <v>4556</v>
      </c>
      <c r="I422" s="101" t="s">
        <v>1241</v>
      </c>
      <c r="J422" s="101"/>
      <c r="K422" s="102">
        <v>1</v>
      </c>
      <c r="L422" s="123">
        <v>8046.12</v>
      </c>
      <c r="M422" s="101"/>
      <c r="N422" s="112"/>
      <c r="O422" s="215">
        <f>IF(VEND[[#This Row],[STATUS]]="O.C",(VEND[[#This Row],[Fecha Recibe
O.C]]+VEND[[#This Row],[Dias
entrega ]]),"")</f>
        <v>44336</v>
      </c>
      <c r="P422" s="215"/>
      <c r="Q422" s="102">
        <f>IFERROR(VEND[[#This Row],[Fecha de Despacho]]-VEND[[#This Row],[Fecha Estimada de Entrega a  Cliente]],"")</f>
        <v>-44336</v>
      </c>
      <c r="R4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2" s="101" t="str">
        <f>IF(VEND[[#This Row],[STATUS]]="O.C","APROBADO",IF(VEND[[#This Row],[STATUS]]="PERDIDO","PERDIDO",IF(VEND[[#This Row],[STATUS]]="EN ESPERA","EN ESPERA")))</f>
        <v>APROBADO</v>
      </c>
      <c r="T422" s="101" t="str">
        <f>IF(VEND[[#This Row],[STATUS]]="O.C","APROBADO",IF(VEND[[#This Row],[STATUS]]="PERDIDO","PERDIDO",IF(VEND[[#This Row],[STATUS]]="EN ESPERA","EN ESPERA")))</f>
        <v>APROBADO</v>
      </c>
      <c r="U422" s="55" t="s">
        <v>46</v>
      </c>
      <c r="V422" s="55" t="s">
        <v>46</v>
      </c>
      <c r="W422" s="55" t="s">
        <v>1409</v>
      </c>
      <c r="X422" s="112" t="s">
        <v>1715</v>
      </c>
    </row>
    <row r="423" spans="2:24" ht="15.75" x14ac:dyDescent="0.25">
      <c r="B423" s="71">
        <v>44326</v>
      </c>
      <c r="C423" s="71" t="str">
        <f>TEXT(VEND[[#This Row],[Fecha de Envío
Cotización]],"mmmm")</f>
        <v>mayo</v>
      </c>
      <c r="D423" s="66" t="s">
        <v>945</v>
      </c>
      <c r="E423" s="125" t="s">
        <v>42</v>
      </c>
      <c r="F423" s="115" t="str">
        <f>IF(VEND[[#This Row],[STATUS]]="PERDIDO","N/A","En espera")</f>
        <v>N/A</v>
      </c>
      <c r="G423" s="125" t="str">
        <f>TEXT(VEND[[#This Row],[Fecha Recibe
O.C]],"mmmm")</f>
        <v>N/A</v>
      </c>
      <c r="H423" s="112">
        <v>6023</v>
      </c>
      <c r="I423" s="112" t="s">
        <v>130</v>
      </c>
      <c r="J423" s="112"/>
      <c r="K423" s="58">
        <v>3</v>
      </c>
      <c r="L423" s="123">
        <v>5163.28</v>
      </c>
      <c r="M423" s="112" t="s">
        <v>16</v>
      </c>
      <c r="N423" s="112">
        <v>21</v>
      </c>
      <c r="O423" s="212" t="str">
        <f>IF(VEND[[#This Row],[STATUS]]="O.C",(VEND[[#This Row],[Fecha Recibe
O.C]]+VEND[[#This Row],[Dias
entrega ]]),"")</f>
        <v/>
      </c>
      <c r="P423" s="212"/>
      <c r="Q423" s="58" t="str">
        <f>IFERROR(VEND[[#This Row],[Fecha de Despacho]]-VEND[[#This Row],[Fecha Estimada de Entrega a  Cliente]],"")</f>
        <v/>
      </c>
      <c r="R4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3" s="112" t="str">
        <f>IF(VEND[[#This Row],[STATUS]]="O.C","APROBADO",IF(VEND[[#This Row],[STATUS]]="PERDIDO","PERDIDO",IF(VEND[[#This Row],[STATUS]]="EN ESPERA","EN ESPERA")))</f>
        <v>PERDIDO</v>
      </c>
      <c r="T423" s="112" t="str">
        <f>IF(VEND[[#This Row],[STATUS]]="O.C","APROBADO",IF(VEND[[#This Row],[STATUS]]="PERDIDO","PERDIDO",IF(VEND[[#This Row],[STATUS]]="EN ESPERA","EN ESPERA")))</f>
        <v>PERDIDO</v>
      </c>
      <c r="U423" s="55" t="s">
        <v>23</v>
      </c>
      <c r="V423" s="55" t="s">
        <v>23</v>
      </c>
      <c r="W423" s="55" t="s">
        <v>1409</v>
      </c>
      <c r="X423" s="112"/>
    </row>
    <row r="424" spans="2:24" ht="15.75" x14ac:dyDescent="0.25">
      <c r="B424" s="70">
        <v>44326</v>
      </c>
      <c r="C424" s="70" t="str">
        <f>TEXT(VEND[[#This Row],[Fecha de Envío
Cotización]],"mmmm")</f>
        <v>mayo</v>
      </c>
      <c r="D424" s="66" t="s">
        <v>945</v>
      </c>
      <c r="E424" s="125" t="s">
        <v>83</v>
      </c>
      <c r="F424" s="125">
        <v>44327</v>
      </c>
      <c r="G424" s="125" t="str">
        <f>TEXT(VEND[[#This Row],[Fecha Recibe
O.C]],"mmmm")</f>
        <v>mayo</v>
      </c>
      <c r="H424" s="112">
        <v>20169</v>
      </c>
      <c r="I424" s="112" t="s">
        <v>1414</v>
      </c>
      <c r="J424" s="57"/>
      <c r="K424" s="64">
        <v>1</v>
      </c>
      <c r="L424" s="123">
        <v>138</v>
      </c>
      <c r="M424" s="112" t="s">
        <v>22</v>
      </c>
      <c r="N424" s="112">
        <v>0</v>
      </c>
      <c r="O424" s="212">
        <f>IF(VEND[[#This Row],[STATUS]]="O.C",(VEND[[#This Row],[Fecha Recibe
O.C]]+VEND[[#This Row],[Dias
entrega ]]),"")</f>
        <v>44327</v>
      </c>
      <c r="P424" s="214">
        <v>44330</v>
      </c>
      <c r="Q424" s="64">
        <f>IFERROR(VEND[[#This Row],[Fecha de Despacho]]-VEND[[#This Row],[Fecha Estimada de Entrega a  Cliente]],"")</f>
        <v>3</v>
      </c>
      <c r="R4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424" s="112" t="str">
        <f>IF(VEND[[#This Row],[STATUS]]="O.C","APROBADO",IF(VEND[[#This Row],[STATUS]]="PERDIDO","PERDIDO",IF(VEND[[#This Row],[STATUS]]="EN ESPERA","EN ESPERA")))</f>
        <v>APROBADO</v>
      </c>
      <c r="T424" s="112" t="str">
        <f>IF(VEND[[#This Row],[STATUS]]="O.C","APROBADO",IF(VEND[[#This Row],[STATUS]]="PERDIDO","PERDIDO",IF(VEND[[#This Row],[STATUS]]="EN ESPERA","EN ESPERA")))</f>
        <v>APROBADO</v>
      </c>
      <c r="U424" s="55" t="s">
        <v>46</v>
      </c>
      <c r="V424" s="55" t="s">
        <v>46</v>
      </c>
      <c r="W424" s="55" t="s">
        <v>1401</v>
      </c>
      <c r="X424" s="57"/>
    </row>
    <row r="425" spans="2:24" ht="15.75" x14ac:dyDescent="0.25">
      <c r="B425" s="234">
        <v>44327</v>
      </c>
      <c r="C425" s="70" t="str">
        <f>TEXT(VEND[[#This Row],[Fecha de Envío
Cotización]],"mmmm")</f>
        <v>mayo</v>
      </c>
      <c r="D425" s="66" t="s">
        <v>1163</v>
      </c>
      <c r="E425" s="98" t="s">
        <v>83</v>
      </c>
      <c r="F425" s="125">
        <v>44333</v>
      </c>
      <c r="G425" s="125" t="str">
        <f>TEXT(VEND[[#This Row],[Fecha Recibe
O.C]],"mmmm")</f>
        <v>mayo</v>
      </c>
      <c r="H425" s="112">
        <v>19</v>
      </c>
      <c r="I425" s="112" t="s">
        <v>1241</v>
      </c>
      <c r="J425" s="57"/>
      <c r="K425" s="64">
        <v>1</v>
      </c>
      <c r="L425" s="123">
        <v>98.68</v>
      </c>
      <c r="M425" s="112"/>
      <c r="N425" s="112"/>
      <c r="O425" s="212">
        <f>IF(VEND[[#This Row],[STATUS]]="O.C",(VEND[[#This Row],[Fecha Recibe
O.C]]+VEND[[#This Row],[Dias
entrega ]]),"")</f>
        <v>44333</v>
      </c>
      <c r="P425" s="214"/>
      <c r="Q425" s="64">
        <f>IFERROR(VEND[[#This Row],[Fecha de Despacho]]-VEND[[#This Row],[Fecha Estimada de Entrega a  Cliente]],"")</f>
        <v>-44333</v>
      </c>
      <c r="R4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5" s="112" t="str">
        <f>IF(VEND[[#This Row],[STATUS]]="O.C","APROBADO",IF(VEND[[#This Row],[STATUS]]="PERDIDO","PERDIDO",IF(VEND[[#This Row],[STATUS]]="EN ESPERA","EN ESPERA")))</f>
        <v>APROBADO</v>
      </c>
      <c r="T425" s="112" t="str">
        <f>IF(VEND[[#This Row],[STATUS]]="O.C","APROBADO",IF(VEND[[#This Row],[STATUS]]="PERDIDO","PERDIDO",IF(VEND[[#This Row],[STATUS]]="EN ESPERA","EN ESPERA")))</f>
        <v>APROBADO</v>
      </c>
      <c r="U425" s="55" t="s">
        <v>46</v>
      </c>
      <c r="V425" s="55" t="s">
        <v>46</v>
      </c>
      <c r="W425" s="112" t="s">
        <v>1409</v>
      </c>
      <c r="X425" s="112" t="s">
        <v>1508</v>
      </c>
    </row>
    <row r="426" spans="2:24" ht="15.75" x14ac:dyDescent="0.25">
      <c r="B426" s="70">
        <v>44327</v>
      </c>
      <c r="C426" s="70" t="str">
        <f>TEXT(VEND[[#This Row],[Fecha de Envío
Cotización]],"mmmm")</f>
        <v>mayo</v>
      </c>
      <c r="D426" s="66" t="s">
        <v>50</v>
      </c>
      <c r="E426" s="98" t="s">
        <v>42</v>
      </c>
      <c r="F426" s="125" t="str">
        <f>IF(VEND[[#This Row],[STATUS]]="PERDIDO","N/A","En espera")</f>
        <v>N/A</v>
      </c>
      <c r="G426" s="125" t="str">
        <f>TEXT(VEND[[#This Row],[Fecha Recibe
O.C]],"mmmm")</f>
        <v>N/A</v>
      </c>
      <c r="H426" s="112">
        <v>1556</v>
      </c>
      <c r="I426" s="112" t="s">
        <v>283</v>
      </c>
      <c r="J426" s="57"/>
      <c r="K426" s="64">
        <v>3</v>
      </c>
      <c r="L426" s="123">
        <v>2150.4499999999998</v>
      </c>
      <c r="M426" s="112" t="s">
        <v>22</v>
      </c>
      <c r="N426" s="112">
        <v>0</v>
      </c>
      <c r="O426" s="212" t="str">
        <f>IF(VEND[[#This Row],[STATUS]]="O.C",(VEND[[#This Row],[Fecha Recibe
O.C]]+VEND[[#This Row],[Dias
entrega ]]),"")</f>
        <v/>
      </c>
      <c r="P426" s="214"/>
      <c r="Q426" s="64" t="str">
        <f>IFERROR(VEND[[#This Row],[Fecha de Despacho]]-VEND[[#This Row],[Fecha Estimada de Entrega a  Cliente]],"")</f>
        <v/>
      </c>
      <c r="R4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6" s="112" t="str">
        <f>IF(VEND[[#This Row],[STATUS]]="O.C","APROBADO",IF(VEND[[#This Row],[STATUS]]="PERDIDO","PERDIDO",IF(VEND[[#This Row],[STATUS]]="EN ESPERA","EN ESPERA")))</f>
        <v>PERDIDO</v>
      </c>
      <c r="T426" s="112" t="str">
        <f>IF(VEND[[#This Row],[STATUS]]="O.C","APROBADO",IF(VEND[[#This Row],[STATUS]]="PERDIDO","PERDIDO",IF(VEND[[#This Row],[STATUS]]="EN ESPERA","EN ESPERA")))</f>
        <v>PERDIDO</v>
      </c>
      <c r="U426" s="112" t="s">
        <v>23</v>
      </c>
      <c r="V426" s="112" t="s">
        <v>23</v>
      </c>
      <c r="W426" s="112" t="s">
        <v>1404</v>
      </c>
      <c r="X426" s="112" t="s">
        <v>1420</v>
      </c>
    </row>
    <row r="427" spans="2:24" ht="15.75" x14ac:dyDescent="0.25">
      <c r="B427" s="70">
        <v>44327</v>
      </c>
      <c r="C427" s="70" t="str">
        <f>TEXT(VEND[[#This Row],[Fecha de Envío
Cotización]],"mmmm")</f>
        <v>mayo</v>
      </c>
      <c r="D427" s="66" t="s">
        <v>50</v>
      </c>
      <c r="E427" s="125" t="s">
        <v>83</v>
      </c>
      <c r="F427" s="125">
        <v>44335</v>
      </c>
      <c r="G427" s="125" t="str">
        <f>TEXT(VEND[[#This Row],[Fecha Recibe
O.C]],"mmmm")</f>
        <v>mayo</v>
      </c>
      <c r="H427" s="112">
        <v>1557</v>
      </c>
      <c r="I427" s="112" t="s">
        <v>283</v>
      </c>
      <c r="J427" s="57"/>
      <c r="K427" s="64">
        <v>4</v>
      </c>
      <c r="L427" s="123">
        <v>2233.5700000000002</v>
      </c>
      <c r="M427" s="55" t="s">
        <v>51</v>
      </c>
      <c r="N427" s="112">
        <v>21</v>
      </c>
      <c r="O427" s="212">
        <f>IF(VEND[[#This Row],[STATUS]]="O.C",(VEND[[#This Row],[Fecha Recibe
O.C]]+VEND[[#This Row],[Dias
entrega ]]),"")</f>
        <v>44356</v>
      </c>
      <c r="P427" s="214"/>
      <c r="Q427" s="64">
        <f>IFERROR(VEND[[#This Row],[Fecha de Despacho]]-VEND[[#This Row],[Fecha Estimada de Entrega a  Cliente]],"")</f>
        <v>-44356</v>
      </c>
      <c r="R4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7" s="112" t="str">
        <f>IF(VEND[[#This Row],[STATUS]]="O.C","APROBADO",IF(VEND[[#This Row],[STATUS]]="PERDIDO","PERDIDO",IF(VEND[[#This Row],[STATUS]]="EN ESPERA","EN ESPERA")))</f>
        <v>APROBADO</v>
      </c>
      <c r="T427" s="112" t="str">
        <f>IF(VEND[[#This Row],[STATUS]]="O.C","APROBADO",IF(VEND[[#This Row],[STATUS]]="PERDIDO","PERDIDO",IF(VEND[[#This Row],[STATUS]]="EN ESPERA","EN ESPERA")))</f>
        <v>APROBADO</v>
      </c>
      <c r="U427" s="55" t="s">
        <v>46</v>
      </c>
      <c r="V427" s="55" t="s">
        <v>46</v>
      </c>
      <c r="W427" s="112" t="s">
        <v>1658</v>
      </c>
      <c r="X427" s="109" t="s">
        <v>1514</v>
      </c>
    </row>
    <row r="428" spans="2:24" ht="15.75" x14ac:dyDescent="0.25">
      <c r="B428" s="70">
        <v>44327</v>
      </c>
      <c r="C428" s="70" t="str">
        <f>TEXT(VEND[[#This Row],[Fecha de Envío
Cotización]],"mmmm")</f>
        <v>mayo</v>
      </c>
      <c r="D428" s="66" t="s">
        <v>50</v>
      </c>
      <c r="E428" s="125" t="s">
        <v>88</v>
      </c>
      <c r="F428" s="98" t="str">
        <f>IF(VEND[[#This Row],[STATUS]]="PERDIDO","N/A","En espera")</f>
        <v>En espera</v>
      </c>
      <c r="G428" s="125" t="str">
        <f>TEXT(VEND[[#This Row],[Fecha Recibe
O.C]],"mmmm")</f>
        <v>En espera</v>
      </c>
      <c r="H428" s="112">
        <v>1559</v>
      </c>
      <c r="I428" s="112" t="s">
        <v>283</v>
      </c>
      <c r="J428" s="57"/>
      <c r="K428" s="64">
        <v>1</v>
      </c>
      <c r="L428" s="123">
        <v>6707.65</v>
      </c>
      <c r="M428" s="55" t="s">
        <v>73</v>
      </c>
      <c r="N428" s="112">
        <v>14</v>
      </c>
      <c r="O428" s="212" t="str">
        <f>IF(VEND[[#This Row],[STATUS]]="O.C",(VEND[[#This Row],[Fecha Recibe
O.C]]+VEND[[#This Row],[Dias
entrega ]]),"")</f>
        <v/>
      </c>
      <c r="P428" s="214"/>
      <c r="Q428" s="64" t="str">
        <f>IFERROR(VEND[[#This Row],[Fecha de Despacho]]-VEND[[#This Row],[Fecha Estimada de Entrega a  Cliente]],"")</f>
        <v/>
      </c>
      <c r="R4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8" s="112" t="str">
        <f>IF(VEND[[#This Row],[STATUS]]="O.C","APROBADO",IF(VEND[[#This Row],[STATUS]]="PERDIDO","PERDIDO",IF(VEND[[#This Row],[STATUS]]="EN ESPERA","EN ESPERA")))</f>
        <v>EN ESPERA</v>
      </c>
      <c r="T428" s="112" t="str">
        <f>IF(VEND[[#This Row],[STATUS]]="O.C","APROBADO",IF(VEND[[#This Row],[STATUS]]="PERDIDO","PERDIDO",IF(VEND[[#This Row],[STATUS]]="EN ESPERA","EN ESPERA")))</f>
        <v>EN ESPERA</v>
      </c>
      <c r="U428" s="112" t="s">
        <v>23</v>
      </c>
      <c r="V428" s="112" t="s">
        <v>23</v>
      </c>
      <c r="W428" s="112" t="s">
        <v>1658</v>
      </c>
      <c r="X428" s="57"/>
    </row>
    <row r="429" spans="2:24" ht="15.75" x14ac:dyDescent="0.25">
      <c r="B429" s="70">
        <v>44327</v>
      </c>
      <c r="C429" s="70" t="str">
        <f>TEXT(VEND[[#This Row],[Fecha de Envío
Cotización]],"mmmm")</f>
        <v>mayo</v>
      </c>
      <c r="D429" s="66" t="s">
        <v>50</v>
      </c>
      <c r="E429" s="125" t="s">
        <v>83</v>
      </c>
      <c r="F429" s="125">
        <v>44330</v>
      </c>
      <c r="G429" s="125" t="str">
        <f>TEXT(VEND[[#This Row],[Fecha Recibe
O.C]],"mmmm")</f>
        <v>mayo</v>
      </c>
      <c r="H429" s="112">
        <v>1561</v>
      </c>
      <c r="I429" s="112" t="s">
        <v>283</v>
      </c>
      <c r="J429" s="57"/>
      <c r="K429" s="64">
        <v>1</v>
      </c>
      <c r="L429" s="123">
        <v>772.15</v>
      </c>
      <c r="M429" s="112" t="s">
        <v>51</v>
      </c>
      <c r="N429" s="112">
        <v>21</v>
      </c>
      <c r="O429" s="212">
        <f>IF(VEND[[#This Row],[STATUS]]="O.C",(VEND[[#This Row],[Fecha Recibe
O.C]]+VEND[[#This Row],[Dias
entrega ]]),"")</f>
        <v>44351</v>
      </c>
      <c r="P429" s="214"/>
      <c r="Q429" s="64">
        <f>IFERROR(VEND[[#This Row],[Fecha de Despacho]]-VEND[[#This Row],[Fecha Estimada de Entrega a  Cliente]],"")</f>
        <v>-44351</v>
      </c>
      <c r="R4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29" s="112" t="str">
        <f>IF(VEND[[#This Row],[STATUS]]="O.C","APROBADO",IF(VEND[[#This Row],[STATUS]]="PERDIDO","PERDIDO",IF(VEND[[#This Row],[STATUS]]="EN ESPERA","EN ESPERA")))</f>
        <v>APROBADO</v>
      </c>
      <c r="T429" s="112" t="str">
        <f>IF(VEND[[#This Row],[STATUS]]="O.C","APROBADO",IF(VEND[[#This Row],[STATUS]]="PERDIDO","PERDIDO",IF(VEND[[#This Row],[STATUS]]="EN ESPERA","EN ESPERA")))</f>
        <v>APROBADO</v>
      </c>
      <c r="U429" s="112" t="s">
        <v>46</v>
      </c>
      <c r="V429" s="112" t="s">
        <v>46</v>
      </c>
      <c r="W429" s="55" t="s">
        <v>1402</v>
      </c>
      <c r="X429" s="57"/>
    </row>
    <row r="430" spans="2:24" ht="15.75" x14ac:dyDescent="0.25">
      <c r="B430" s="70">
        <v>44327</v>
      </c>
      <c r="C430" s="70" t="str">
        <f>TEXT(VEND[[#This Row],[Fecha de Envío
Cotización]],"mmmm")</f>
        <v>mayo</v>
      </c>
      <c r="D430" s="66" t="s">
        <v>50</v>
      </c>
      <c r="E430" s="125" t="s">
        <v>88</v>
      </c>
      <c r="F430" s="125" t="str">
        <f>IF(VEND[[#This Row],[STATUS]]="PERDIDO","N/A","En espera")</f>
        <v>En espera</v>
      </c>
      <c r="G430" s="125" t="str">
        <f>TEXT(VEND[[#This Row],[Fecha Recibe
O.C]],"mmmm")</f>
        <v>En espera</v>
      </c>
      <c r="H430" s="112">
        <v>1562</v>
      </c>
      <c r="I430" s="112" t="s">
        <v>33</v>
      </c>
      <c r="J430" s="57"/>
      <c r="K430" s="146">
        <v>1</v>
      </c>
      <c r="L430" s="123">
        <v>977.76</v>
      </c>
      <c r="M430" s="55" t="s">
        <v>51</v>
      </c>
      <c r="N430" s="112">
        <v>21</v>
      </c>
      <c r="O430" s="212" t="str">
        <f>IF(VEND[[#This Row],[STATUS]]="O.C",(VEND[[#This Row],[Fecha Recibe
O.C]]+VEND[[#This Row],[Dias
entrega ]]),"")</f>
        <v/>
      </c>
      <c r="P430" s="214"/>
      <c r="Q430" s="64" t="str">
        <f>IFERROR(VEND[[#This Row],[Fecha de Despacho]]-VEND[[#This Row],[Fecha Estimada de Entrega a  Cliente]],"")</f>
        <v/>
      </c>
      <c r="R4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0" s="112" t="str">
        <f>IF(VEND[[#This Row],[STATUS]]="O.C","APROBADO",IF(VEND[[#This Row],[STATUS]]="PERDIDO","PERDIDO",IF(VEND[[#This Row],[STATUS]]="EN ESPERA","EN ESPERA")))</f>
        <v>EN ESPERA</v>
      </c>
      <c r="T430" s="112" t="str">
        <f>IF(VEND[[#This Row],[STATUS]]="O.C","APROBADO",IF(VEND[[#This Row],[STATUS]]="PERDIDO","PERDIDO",IF(VEND[[#This Row],[STATUS]]="EN ESPERA","EN ESPERA")))</f>
        <v>EN ESPERA</v>
      </c>
      <c r="U430" s="55" t="s">
        <v>23</v>
      </c>
      <c r="V430" s="55" t="s">
        <v>23</v>
      </c>
      <c r="W430" s="55" t="s">
        <v>1402</v>
      </c>
      <c r="X430" s="57"/>
    </row>
    <row r="431" spans="2:24" ht="15.75" x14ac:dyDescent="0.25">
      <c r="B431" s="70">
        <v>44327</v>
      </c>
      <c r="C431" s="70" t="str">
        <f>TEXT(VEND[[#This Row],[Fecha de Envío
Cotización]],"mmmm")</f>
        <v>mayo</v>
      </c>
      <c r="D431" s="66" t="s">
        <v>50</v>
      </c>
      <c r="E431" s="125" t="s">
        <v>88</v>
      </c>
      <c r="F431" s="125" t="str">
        <f>IF(VEND[[#This Row],[STATUS]]="PERDIDO","N/A","En espera")</f>
        <v>En espera</v>
      </c>
      <c r="G431" s="125" t="str">
        <f>TEXT(VEND[[#This Row],[Fecha Recibe
O.C]],"mmmm")</f>
        <v>En espera</v>
      </c>
      <c r="H431" s="112">
        <v>1563</v>
      </c>
      <c r="I431" s="55" t="s">
        <v>1066</v>
      </c>
      <c r="J431" s="57"/>
      <c r="K431" s="64">
        <v>1</v>
      </c>
      <c r="L431" s="123">
        <v>518.54999999999995</v>
      </c>
      <c r="M431" s="55" t="s">
        <v>419</v>
      </c>
      <c r="N431" s="112">
        <v>35</v>
      </c>
      <c r="O431" s="212" t="str">
        <f>IF(VEND[[#This Row],[STATUS]]="O.C",(VEND[[#This Row],[Fecha Recibe
O.C]]+VEND[[#This Row],[Dias
entrega ]]),"")</f>
        <v/>
      </c>
      <c r="P431" s="214"/>
      <c r="Q431" s="64" t="str">
        <f>IFERROR(VEND[[#This Row],[Fecha de Despacho]]-VEND[[#This Row],[Fecha Estimada de Entrega a  Cliente]],"")</f>
        <v/>
      </c>
      <c r="R4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1" s="112" t="str">
        <f>IF(VEND[[#This Row],[STATUS]]="O.C","APROBADO",IF(VEND[[#This Row],[STATUS]]="PERDIDO","PERDIDO",IF(VEND[[#This Row],[STATUS]]="EN ESPERA","EN ESPERA")))</f>
        <v>EN ESPERA</v>
      </c>
      <c r="T431" s="112" t="str">
        <f>IF(VEND[[#This Row],[STATUS]]="O.C","APROBADO",IF(VEND[[#This Row],[STATUS]]="PERDIDO","PERDIDO",IF(VEND[[#This Row],[STATUS]]="EN ESPERA","EN ESPERA")))</f>
        <v>EN ESPERA</v>
      </c>
      <c r="U431" s="55" t="s">
        <v>23</v>
      </c>
      <c r="V431" s="55" t="s">
        <v>23</v>
      </c>
      <c r="W431" s="55" t="s">
        <v>1401</v>
      </c>
      <c r="X431" s="57"/>
    </row>
    <row r="432" spans="2:24" ht="15.75" x14ac:dyDescent="0.25">
      <c r="B432" s="71">
        <v>44327</v>
      </c>
      <c r="C432" s="71" t="str">
        <f>TEXT(VEND[[#This Row],[Fecha de Envío
Cotización]],"mmmm")</f>
        <v>mayo</v>
      </c>
      <c r="D432" s="66" t="s">
        <v>68</v>
      </c>
      <c r="E432" s="125" t="s">
        <v>88</v>
      </c>
      <c r="F432" s="115" t="str">
        <f>IF(VEND[[#This Row],[STATUS]]="PERDIDO","N/A","En espera")</f>
        <v>En espera</v>
      </c>
      <c r="G432" s="125" t="str">
        <f>TEXT(VEND[[#This Row],[Fecha Recibe
O.C]],"mmmm")</f>
        <v>En espera</v>
      </c>
      <c r="H432" s="112">
        <v>2623</v>
      </c>
      <c r="I432" s="112" t="s">
        <v>91</v>
      </c>
      <c r="J432" s="57"/>
      <c r="K432" s="64">
        <v>7</v>
      </c>
      <c r="L432" s="123">
        <v>234.32</v>
      </c>
      <c r="M432" s="112" t="s">
        <v>15</v>
      </c>
      <c r="N432" s="112">
        <v>14</v>
      </c>
      <c r="O432" s="212" t="str">
        <f>IF(VEND[[#This Row],[STATUS]]="O.C",(VEND[[#This Row],[Fecha Recibe
O.C]]+VEND[[#This Row],[Dias
entrega ]]),"")</f>
        <v/>
      </c>
      <c r="P432" s="214"/>
      <c r="Q432" s="64" t="str">
        <f>IFERROR(VEND[[#This Row],[Fecha de Despacho]]-VEND[[#This Row],[Fecha Estimada de Entrega a  Cliente]],"")</f>
        <v/>
      </c>
      <c r="R4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2" s="57" t="str">
        <f>IF(VEND[[#This Row],[STATUS]]="O.C","APROBADO",IF(VEND[[#This Row],[STATUS]]="PERDIDO","PERDIDO",IF(VEND[[#This Row],[STATUS]]="EN ESPERA","EN ESPERA")))</f>
        <v>EN ESPERA</v>
      </c>
      <c r="T432" s="57" t="str">
        <f>IF(VEND[[#This Row],[STATUS]]="O.C","APROBADO",IF(VEND[[#This Row],[STATUS]]="PERDIDO","PERDIDO",IF(VEND[[#This Row],[STATUS]]="EN ESPERA","EN ESPERA")))</f>
        <v>EN ESPERA</v>
      </c>
      <c r="U432" s="55" t="s">
        <v>23</v>
      </c>
      <c r="V432" s="55" t="s">
        <v>23</v>
      </c>
      <c r="W432" s="112" t="s">
        <v>1401</v>
      </c>
      <c r="X432" s="57"/>
    </row>
    <row r="433" spans="2:24" s="105" customFormat="1" ht="15.75" x14ac:dyDescent="0.25">
      <c r="B433" s="71">
        <v>44327</v>
      </c>
      <c r="C433" s="71" t="str">
        <f>TEXT(VEND[[#This Row],[Fecha de Envío
Cotización]],"mmmm")</f>
        <v>mayo</v>
      </c>
      <c r="D433" s="66" t="s">
        <v>41</v>
      </c>
      <c r="E433" s="125" t="s">
        <v>83</v>
      </c>
      <c r="F433" s="125">
        <v>44328</v>
      </c>
      <c r="G433" s="125" t="str">
        <f>TEXT(VEND[[#This Row],[Fecha Recibe
O.C]],"mmmm")</f>
        <v>mayo</v>
      </c>
      <c r="H433" s="112">
        <v>3519</v>
      </c>
      <c r="I433" s="112" t="s">
        <v>76</v>
      </c>
      <c r="J433" s="57"/>
      <c r="K433" s="64">
        <v>1</v>
      </c>
      <c r="L433" s="123">
        <v>54.5</v>
      </c>
      <c r="M433" s="112" t="s">
        <v>73</v>
      </c>
      <c r="N433" s="112">
        <v>14</v>
      </c>
      <c r="O433" s="212">
        <f>IF(VEND[[#This Row],[STATUS]]="O.C",(VEND[[#This Row],[Fecha Recibe
O.C]]+VEND[[#This Row],[Dias
entrega ]]),"")</f>
        <v>44342</v>
      </c>
      <c r="P433" s="214">
        <v>44337</v>
      </c>
      <c r="Q433" s="64">
        <f>IFERROR(VEND[[#This Row],[Fecha de Despacho]]-VEND[[#This Row],[Fecha Estimada de Entrega a  Cliente]],"")</f>
        <v>-5</v>
      </c>
      <c r="R4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3" s="57" t="str">
        <f>IF(VEND[[#This Row],[STATUS]]="O.C","APROBADO",IF(VEND[[#This Row],[STATUS]]="PERDIDO","PERDIDO",IF(VEND[[#This Row],[STATUS]]="EN ESPERA","EN ESPERA")))</f>
        <v>APROBADO</v>
      </c>
      <c r="T433" s="57" t="str">
        <f>IF(VEND[[#This Row],[STATUS]]="O.C","APROBADO",IF(VEND[[#This Row],[STATUS]]="PERDIDO","PERDIDO",IF(VEND[[#This Row],[STATUS]]="EN ESPERA","EN ESPERA")))</f>
        <v>APROBADO</v>
      </c>
      <c r="U433" s="112" t="s">
        <v>45</v>
      </c>
      <c r="V433" s="112" t="s">
        <v>47</v>
      </c>
      <c r="W433" s="112" t="s">
        <v>1402</v>
      </c>
      <c r="X433" s="57"/>
    </row>
    <row r="434" spans="2:24" ht="15.75" x14ac:dyDescent="0.25">
      <c r="B434" s="234">
        <v>44327</v>
      </c>
      <c r="C434" s="70" t="str">
        <f>TEXT(VEND[[#This Row],[Fecha de Envío
Cotización]],"mmmm")</f>
        <v>mayo</v>
      </c>
      <c r="D434" s="66" t="s">
        <v>1163</v>
      </c>
      <c r="E434" s="125" t="s">
        <v>83</v>
      </c>
      <c r="F434" s="115">
        <v>44330</v>
      </c>
      <c r="G434" s="125" t="str">
        <f>TEXT(VEND[[#This Row],[Fecha Recibe
O.C]],"mmmm")</f>
        <v>mayo</v>
      </c>
      <c r="H434" s="112">
        <v>4558</v>
      </c>
      <c r="I434" s="112" t="s">
        <v>1241</v>
      </c>
      <c r="J434" s="101"/>
      <c r="K434" s="102">
        <v>1</v>
      </c>
      <c r="L434" s="123">
        <v>362.97</v>
      </c>
      <c r="M434" s="112"/>
      <c r="N434" s="112"/>
      <c r="O434" s="212">
        <f>IF(VEND[[#This Row],[STATUS]]="O.C",(VEND[[#This Row],[Fecha Recibe
O.C]]+VEND[[#This Row],[Dias
entrega ]]),"")</f>
        <v>44330</v>
      </c>
      <c r="P434" s="215"/>
      <c r="Q434" s="102">
        <f>IFERROR(VEND[[#This Row],[Fecha de Despacho]]-VEND[[#This Row],[Fecha Estimada de Entrega a  Cliente]],"")</f>
        <v>-44330</v>
      </c>
      <c r="R4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4" s="101" t="str">
        <f>IF(VEND[[#This Row],[STATUS]]="O.C","APROBADO",IF(VEND[[#This Row],[STATUS]]="PERDIDO","PERDIDO",IF(VEND[[#This Row],[STATUS]]="EN ESPERA","EN ESPERA")))</f>
        <v>APROBADO</v>
      </c>
      <c r="T434" s="101" t="str">
        <f>IF(VEND[[#This Row],[STATUS]]="O.C","APROBADO",IF(VEND[[#This Row],[STATUS]]="PERDIDO","PERDIDO",IF(VEND[[#This Row],[STATUS]]="EN ESPERA","EN ESPERA")))</f>
        <v>APROBADO</v>
      </c>
      <c r="U434" s="112" t="s">
        <v>46</v>
      </c>
      <c r="V434" s="112" t="s">
        <v>46</v>
      </c>
      <c r="W434" s="112" t="s">
        <v>1409</v>
      </c>
      <c r="X434" s="101" t="s">
        <v>2434</v>
      </c>
    </row>
    <row r="435" spans="2:24" ht="15.75" x14ac:dyDescent="0.25">
      <c r="B435" s="70">
        <v>44327</v>
      </c>
      <c r="C435" s="70" t="str">
        <f>TEXT(VEND[[#This Row],[Fecha de Envío
Cotización]],"mmmm")</f>
        <v>mayo</v>
      </c>
      <c r="D435" s="66" t="s">
        <v>68</v>
      </c>
      <c r="E435" s="125" t="s">
        <v>83</v>
      </c>
      <c r="F435" s="125">
        <v>44327</v>
      </c>
      <c r="G435" s="125" t="str">
        <f>TEXT(VEND[[#This Row],[Fecha Recibe
O.C]],"mmmm")</f>
        <v>mayo</v>
      </c>
      <c r="H435" s="112">
        <v>30910</v>
      </c>
      <c r="I435" s="112" t="s">
        <v>122</v>
      </c>
      <c r="J435" s="57"/>
      <c r="K435" s="64">
        <v>1</v>
      </c>
      <c r="L435" s="123">
        <v>128.52000000000001</v>
      </c>
      <c r="M435" s="112" t="s">
        <v>22</v>
      </c>
      <c r="N435" s="112">
        <v>0</v>
      </c>
      <c r="O435" s="212">
        <f>IF(VEND[[#This Row],[STATUS]]="O.C",(VEND[[#This Row],[Fecha Recibe
O.C]]+VEND[[#This Row],[Dias
entrega ]]),"")</f>
        <v>44327</v>
      </c>
      <c r="P435" s="214">
        <v>44327</v>
      </c>
      <c r="Q435" s="64">
        <f>IFERROR(VEND[[#This Row],[Fecha de Despacho]]-VEND[[#This Row],[Fecha Estimada de Entrega a  Cliente]],"")</f>
        <v>0</v>
      </c>
      <c r="R4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5" s="57" t="str">
        <f>IF(VEND[[#This Row],[STATUS]]="O.C","APROBADO",IF(VEND[[#This Row],[STATUS]]="PERDIDO","PERDIDO",IF(VEND[[#This Row],[STATUS]]="EN ESPERA","EN ESPERA")))</f>
        <v>APROBADO</v>
      </c>
      <c r="T435" s="57" t="str">
        <f>IF(VEND[[#This Row],[STATUS]]="O.C","APROBADO",IF(VEND[[#This Row],[STATUS]]="PERDIDO","PERDIDO",IF(VEND[[#This Row],[STATUS]]="EN ESPERA","EN ESPERA")))</f>
        <v>APROBADO</v>
      </c>
      <c r="U435" s="55" t="s">
        <v>45</v>
      </c>
      <c r="V435" s="55" t="s">
        <v>47</v>
      </c>
      <c r="W435" s="55" t="s">
        <v>1402</v>
      </c>
      <c r="X435" s="57"/>
    </row>
    <row r="436" spans="2:24" ht="15.75" x14ac:dyDescent="0.25">
      <c r="B436" s="70">
        <v>44328</v>
      </c>
      <c r="C436" s="70" t="str">
        <f>TEXT(VEND[[#This Row],[Fecha de Envío
Cotización]],"mmmm")</f>
        <v>mayo</v>
      </c>
      <c r="D436" s="66" t="s">
        <v>50</v>
      </c>
      <c r="E436" s="125" t="s">
        <v>83</v>
      </c>
      <c r="F436" s="125">
        <v>44348</v>
      </c>
      <c r="G436" s="125" t="str">
        <f>TEXT(VEND[[#This Row],[Fecha Recibe
O.C]],"mmmm")</f>
        <v>junio</v>
      </c>
      <c r="H436" s="112">
        <v>1564</v>
      </c>
      <c r="I436" s="112" t="s">
        <v>1109</v>
      </c>
      <c r="J436" s="57"/>
      <c r="K436" s="64">
        <v>1</v>
      </c>
      <c r="L436" s="123">
        <v>877.56</v>
      </c>
      <c r="M436" s="112" t="s">
        <v>51</v>
      </c>
      <c r="N436" s="112">
        <v>21</v>
      </c>
      <c r="O436" s="212">
        <f>IF(VEND[[#This Row],[STATUS]]="O.C",(VEND[[#This Row],[Fecha Recibe
O.C]]+VEND[[#This Row],[Dias
entrega ]]),"")</f>
        <v>44369</v>
      </c>
      <c r="P436" s="214">
        <v>44362</v>
      </c>
      <c r="Q436" s="64">
        <f>IFERROR(VEND[[#This Row],[Fecha de Despacho]]-VEND[[#This Row],[Fecha Estimada de Entrega a  Cliente]],"")</f>
        <v>-7</v>
      </c>
      <c r="R4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6" s="112" t="str">
        <f>IF(VEND[[#This Row],[STATUS]]="O.C","APROBADO",IF(VEND[[#This Row],[STATUS]]="PERDIDO","PERDIDO",IF(VEND[[#This Row],[STATUS]]="EN ESPERA","EN ESPERA")))</f>
        <v>APROBADO</v>
      </c>
      <c r="T436" s="112" t="str">
        <f>IF(VEND[[#This Row],[STATUS]]="O.C","APROBADO",IF(VEND[[#This Row],[STATUS]]="PERDIDO","PERDIDO",IF(VEND[[#This Row],[STATUS]]="EN ESPERA","EN ESPERA")))</f>
        <v>APROBADO</v>
      </c>
      <c r="U436" s="112" t="s">
        <v>45</v>
      </c>
      <c r="V436" s="55" t="s">
        <v>47</v>
      </c>
      <c r="W436" s="112" t="s">
        <v>1401</v>
      </c>
      <c r="X436" s="57"/>
    </row>
    <row r="437" spans="2:24" ht="15.75" x14ac:dyDescent="0.25">
      <c r="B437" s="70">
        <v>44328</v>
      </c>
      <c r="C437" s="70" t="str">
        <f>TEXT(VEND[[#This Row],[Fecha de Envío
Cotización]],"mmmm")</f>
        <v>mayo</v>
      </c>
      <c r="D437" s="66" t="s">
        <v>50</v>
      </c>
      <c r="E437" s="125" t="s">
        <v>88</v>
      </c>
      <c r="F437" s="125" t="str">
        <f>IF(VEND[[#This Row],[STATUS]]="PERDIDO","N/A","En espera")</f>
        <v>En espera</v>
      </c>
      <c r="G437" s="125" t="str">
        <f>TEXT(VEND[[#This Row],[Fecha Recibe
O.C]],"mmmm")</f>
        <v>En espera</v>
      </c>
      <c r="H437" s="112">
        <v>1565</v>
      </c>
      <c r="I437" s="112" t="s">
        <v>1109</v>
      </c>
      <c r="J437" s="101"/>
      <c r="K437" s="102">
        <v>1</v>
      </c>
      <c r="L437" s="123">
        <v>212.39</v>
      </c>
      <c r="M437" s="112" t="s">
        <v>134</v>
      </c>
      <c r="N437" s="112">
        <v>28</v>
      </c>
      <c r="O437" s="212" t="str">
        <f>IF(VEND[[#This Row],[STATUS]]="O.C",(VEND[[#This Row],[Fecha Recibe
O.C]]+VEND[[#This Row],[Dias
entrega ]]),"")</f>
        <v/>
      </c>
      <c r="P437" s="215"/>
      <c r="Q437" s="102" t="str">
        <f>IFERROR(VEND[[#This Row],[Fecha de Despacho]]-VEND[[#This Row],[Fecha Estimada de Entrega a  Cliente]],"")</f>
        <v/>
      </c>
      <c r="R4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7" s="101" t="str">
        <f>IF(VEND[[#This Row],[STATUS]]="O.C","APROBADO",IF(VEND[[#This Row],[STATUS]]="PERDIDO","PERDIDO",IF(VEND[[#This Row],[STATUS]]="EN ESPERA","EN ESPERA")))</f>
        <v>EN ESPERA</v>
      </c>
      <c r="T437" s="101" t="str">
        <f>IF(VEND[[#This Row],[STATUS]]="O.C","APROBADO",IF(VEND[[#This Row],[STATUS]]="PERDIDO","PERDIDO",IF(VEND[[#This Row],[STATUS]]="EN ESPERA","EN ESPERA")))</f>
        <v>EN ESPERA</v>
      </c>
      <c r="U437" s="112" t="s">
        <v>23</v>
      </c>
      <c r="V437" s="112" t="s">
        <v>23</v>
      </c>
      <c r="W437" s="112" t="s">
        <v>1401</v>
      </c>
      <c r="X437" s="101"/>
    </row>
    <row r="438" spans="2:24" ht="15.75" x14ac:dyDescent="0.25">
      <c r="B438" s="70">
        <v>44328</v>
      </c>
      <c r="C438" s="70" t="str">
        <f>TEXT(VEND[[#This Row],[Fecha de Envío
Cotización]],"mmmm")</f>
        <v>mayo</v>
      </c>
      <c r="D438" s="66" t="s">
        <v>945</v>
      </c>
      <c r="E438" s="125" t="s">
        <v>88</v>
      </c>
      <c r="F438" s="125" t="str">
        <f>IF(VEND[[#This Row],[STATUS]]="PERDIDO","N/A","En espera")</f>
        <v>En espera</v>
      </c>
      <c r="G438" s="125" t="str">
        <f>TEXT(VEND[[#This Row],[Fecha Recibe
O.C]],"mmmm")</f>
        <v>En espera</v>
      </c>
      <c r="H438" s="112">
        <v>6024</v>
      </c>
      <c r="I438" s="112" t="s">
        <v>1417</v>
      </c>
      <c r="J438" s="57"/>
      <c r="K438" s="64">
        <v>1</v>
      </c>
      <c r="L438" s="123">
        <v>1505.7</v>
      </c>
      <c r="M438" s="112" t="s">
        <v>22</v>
      </c>
      <c r="N438" s="112">
        <v>0</v>
      </c>
      <c r="O438" s="212" t="str">
        <f>IF(VEND[[#This Row],[STATUS]]="O.C",(VEND[[#This Row],[Fecha Recibe
O.C]]+VEND[[#This Row],[Dias
entrega ]]),"")</f>
        <v/>
      </c>
      <c r="P438" s="214"/>
      <c r="Q438" s="64" t="str">
        <f>IFERROR(VEND[[#This Row],[Fecha de Despacho]]-VEND[[#This Row],[Fecha Estimada de Entrega a  Cliente]],"")</f>
        <v/>
      </c>
      <c r="R4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8" s="112" t="str">
        <f>IF(VEND[[#This Row],[STATUS]]="O.C","APROBADO",IF(VEND[[#This Row],[STATUS]]="PERDIDO","PERDIDO",IF(VEND[[#This Row],[STATUS]]="EN ESPERA","EN ESPERA")))</f>
        <v>EN ESPERA</v>
      </c>
      <c r="T438" s="112" t="str">
        <f>IF(VEND[[#This Row],[STATUS]]="O.C","APROBADO",IF(VEND[[#This Row],[STATUS]]="PERDIDO","PERDIDO",IF(VEND[[#This Row],[STATUS]]="EN ESPERA","EN ESPERA")))</f>
        <v>EN ESPERA</v>
      </c>
      <c r="U438" s="112" t="s">
        <v>23</v>
      </c>
      <c r="V438" s="112" t="s">
        <v>23</v>
      </c>
      <c r="W438" s="112" t="s">
        <v>1402</v>
      </c>
      <c r="X438" s="57"/>
    </row>
    <row r="439" spans="2:24" ht="15.75" x14ac:dyDescent="0.25">
      <c r="B439" s="70">
        <v>44328</v>
      </c>
      <c r="C439" s="70" t="str">
        <f>TEXT(VEND[[#This Row],[Fecha de Envío
Cotización]],"mmmm")</f>
        <v>mayo</v>
      </c>
      <c r="D439" s="66" t="s">
        <v>945</v>
      </c>
      <c r="E439" s="125" t="s">
        <v>88</v>
      </c>
      <c r="F439" s="125" t="str">
        <f>IF(VEND[[#This Row],[STATUS]]="PERDIDO","N/A","En espera")</f>
        <v>En espera</v>
      </c>
      <c r="G439" s="125" t="str">
        <f>TEXT(VEND[[#This Row],[Fecha Recibe
O.C]],"mmmm")</f>
        <v>En espera</v>
      </c>
      <c r="H439" s="112">
        <v>6029</v>
      </c>
      <c r="I439" s="112" t="s">
        <v>31</v>
      </c>
      <c r="J439" s="57"/>
      <c r="K439" s="64">
        <v>1</v>
      </c>
      <c r="L439" s="123">
        <v>92.68</v>
      </c>
      <c r="M439" s="112" t="s">
        <v>22</v>
      </c>
      <c r="N439" s="112">
        <v>0</v>
      </c>
      <c r="O439" s="212" t="str">
        <f>IF(VEND[[#This Row],[STATUS]]="O.C",(VEND[[#This Row],[Fecha Recibe
O.C]]+VEND[[#This Row],[Dias
entrega ]]),"")</f>
        <v/>
      </c>
      <c r="P439" s="214"/>
      <c r="Q439" s="64" t="str">
        <f>IFERROR(VEND[[#This Row],[Fecha de Despacho]]-VEND[[#This Row],[Fecha Estimada de Entrega a  Cliente]],"")</f>
        <v/>
      </c>
      <c r="R4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39" s="112" t="str">
        <f>IF(VEND[[#This Row],[STATUS]]="O.C","APROBADO",IF(VEND[[#This Row],[STATUS]]="PERDIDO","PERDIDO",IF(VEND[[#This Row],[STATUS]]="EN ESPERA","EN ESPERA")))</f>
        <v>EN ESPERA</v>
      </c>
      <c r="T439" s="112" t="str">
        <f>IF(VEND[[#This Row],[STATUS]]="O.C","APROBADO",IF(VEND[[#This Row],[STATUS]]="PERDIDO","PERDIDO",IF(VEND[[#This Row],[STATUS]]="EN ESPERA","EN ESPERA")))</f>
        <v>EN ESPERA</v>
      </c>
      <c r="U439" s="112" t="s">
        <v>23</v>
      </c>
      <c r="V439" s="112" t="s">
        <v>23</v>
      </c>
      <c r="W439" s="112" t="s">
        <v>1410</v>
      </c>
      <c r="X439" s="57"/>
    </row>
    <row r="440" spans="2:24" ht="15.75" x14ac:dyDescent="0.25">
      <c r="B440" s="71">
        <v>44328</v>
      </c>
      <c r="C440" s="195" t="str">
        <f>TEXT(VEND[[#This Row],[Fecha de Envío
Cotización]],"mmmm")</f>
        <v>mayo</v>
      </c>
      <c r="D440" s="66" t="s">
        <v>68</v>
      </c>
      <c r="E440" s="190" t="s">
        <v>83</v>
      </c>
      <c r="F440" s="93">
        <v>44328</v>
      </c>
      <c r="G440" s="93" t="str">
        <f>TEXT(VEND[[#This Row],[Fecha Recibe
O.C]],"mmmm")</f>
        <v>mayo</v>
      </c>
      <c r="H440" s="112" t="s">
        <v>1834</v>
      </c>
      <c r="I440" s="112" t="s">
        <v>1833</v>
      </c>
      <c r="J440" s="112"/>
      <c r="K440" s="58">
        <v>1</v>
      </c>
      <c r="L440" s="123">
        <v>950</v>
      </c>
      <c r="M440" s="112" t="s">
        <v>119</v>
      </c>
      <c r="N440" s="112">
        <v>0</v>
      </c>
      <c r="O440" s="212">
        <f>IF(VEND[[#This Row],[STATUS]]="O.C",(VEND[[#This Row],[Fecha Recibe
O.C]]+VEND[[#This Row],[Dias
entrega ]]),"")</f>
        <v>44328</v>
      </c>
      <c r="P440" s="212">
        <v>44328</v>
      </c>
      <c r="Q440" s="58">
        <f>IFERROR(VEND[[#This Row],[Fecha de Despacho]]-VEND[[#This Row],[Fecha Estimada de Entrega a  Cliente]],"")</f>
        <v>0</v>
      </c>
      <c r="R4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0" s="112" t="str">
        <f>IF(VEND[[#This Row],[STATUS]]="O.C","APROBADO",IF(VEND[[#This Row],[STATUS]]="PERDIDO","PERDIDO",IF(VEND[[#This Row],[STATUS]]="EN ESPERA","EN ESPERA")))</f>
        <v>APROBADO</v>
      </c>
      <c r="T440" s="112" t="str">
        <f>IF(VEND[[#This Row],[STATUS]]="O.C","APROBADO",IF(VEND[[#This Row],[STATUS]]="PERDIDO","PERDIDO",IF(VEND[[#This Row],[STATUS]]="EN ESPERA","EN ESPERA")))</f>
        <v>APROBADO</v>
      </c>
      <c r="U440" s="112" t="s">
        <v>45</v>
      </c>
      <c r="V440" s="112" t="s">
        <v>46</v>
      </c>
      <c r="W440" s="112" t="s">
        <v>1402</v>
      </c>
      <c r="X440" s="112"/>
    </row>
    <row r="441" spans="2:24" ht="15.75" x14ac:dyDescent="0.25">
      <c r="B441" s="71">
        <v>44328</v>
      </c>
      <c r="C441" s="195" t="str">
        <f>TEXT(VEND[[#This Row],[Fecha de Envío
Cotización]],"mmmm")</f>
        <v>mayo</v>
      </c>
      <c r="D441" s="66" t="s">
        <v>945</v>
      </c>
      <c r="E441" s="190" t="s">
        <v>83</v>
      </c>
      <c r="F441" s="93">
        <v>44328</v>
      </c>
      <c r="G441" s="93" t="str">
        <f>TEXT(VEND[[#This Row],[Fecha Recibe
O.C]],"mmmm")</f>
        <v>mayo</v>
      </c>
      <c r="H441" s="112" t="s">
        <v>1836</v>
      </c>
      <c r="I441" s="112" t="s">
        <v>1837</v>
      </c>
      <c r="J441" s="112"/>
      <c r="K441" s="58">
        <v>1</v>
      </c>
      <c r="L441" s="123">
        <v>300</v>
      </c>
      <c r="M441" s="112" t="s">
        <v>119</v>
      </c>
      <c r="N441" s="112">
        <v>0</v>
      </c>
      <c r="O441" s="212">
        <f>IF(VEND[[#This Row],[STATUS]]="O.C",(VEND[[#This Row],[Fecha Recibe
O.C]]+VEND[[#This Row],[Dias
entrega ]]),"")</f>
        <v>44328</v>
      </c>
      <c r="P441" s="212">
        <v>44328</v>
      </c>
      <c r="Q441" s="58">
        <f>IFERROR(VEND[[#This Row],[Fecha de Despacho]]-VEND[[#This Row],[Fecha Estimada de Entrega a  Cliente]],"")</f>
        <v>0</v>
      </c>
      <c r="R4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1" s="112" t="str">
        <f>IF(VEND[[#This Row],[STATUS]]="O.C","APROBADO",IF(VEND[[#This Row],[STATUS]]="PERDIDO","PERDIDO",IF(VEND[[#This Row],[STATUS]]="EN ESPERA","EN ESPERA")))</f>
        <v>APROBADO</v>
      </c>
      <c r="T441" s="112" t="str">
        <f>IF(VEND[[#This Row],[STATUS]]="O.C","APROBADO",IF(VEND[[#This Row],[STATUS]]="PERDIDO","PERDIDO",IF(VEND[[#This Row],[STATUS]]="EN ESPERA","EN ESPERA")))</f>
        <v>APROBADO</v>
      </c>
      <c r="U441" s="112" t="s">
        <v>45</v>
      </c>
      <c r="V441" s="112" t="s">
        <v>47</v>
      </c>
      <c r="W441" s="112" t="s">
        <v>1402</v>
      </c>
      <c r="X441" s="112"/>
    </row>
    <row r="442" spans="2:24" ht="15.75" x14ac:dyDescent="0.25">
      <c r="B442" s="70">
        <v>44329</v>
      </c>
      <c r="C442" s="70" t="str">
        <f>TEXT(VEND[[#This Row],[Fecha de Envío
Cotización]],"mmmm")</f>
        <v>mayo</v>
      </c>
      <c r="D442" s="66" t="s">
        <v>50</v>
      </c>
      <c r="E442" s="125" t="s">
        <v>88</v>
      </c>
      <c r="F442" s="125" t="str">
        <f>IF(VEND[[#This Row],[STATUS]]="PERDIDO","N/A","En espera")</f>
        <v>En espera</v>
      </c>
      <c r="G442" s="125" t="str">
        <f>TEXT(VEND[[#This Row],[Fecha Recibe
O.C]],"mmmm")</f>
        <v>En espera</v>
      </c>
      <c r="H442" s="112">
        <v>1566</v>
      </c>
      <c r="I442" s="101" t="s">
        <v>33</v>
      </c>
      <c r="J442" s="101"/>
      <c r="K442" s="147">
        <v>1</v>
      </c>
      <c r="L442" s="123">
        <v>648</v>
      </c>
      <c r="M442" s="112" t="s">
        <v>51</v>
      </c>
      <c r="N442" s="112">
        <v>21</v>
      </c>
      <c r="O442" s="212" t="str">
        <f>IF(VEND[[#This Row],[STATUS]]="O.C",(VEND[[#This Row],[Fecha Recibe
O.C]]+VEND[[#This Row],[Dias
entrega ]]),"")</f>
        <v/>
      </c>
      <c r="P442" s="215"/>
      <c r="Q442" s="102" t="str">
        <f>IFERROR(VEND[[#This Row],[Fecha de Despacho]]-VEND[[#This Row],[Fecha Estimada de Entrega a  Cliente]],"")</f>
        <v/>
      </c>
      <c r="R4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2" s="101" t="str">
        <f>IF(VEND[[#This Row],[STATUS]]="O.C","APROBADO",IF(VEND[[#This Row],[STATUS]]="PERDIDO","PERDIDO",IF(VEND[[#This Row],[STATUS]]="EN ESPERA","EN ESPERA")))</f>
        <v>EN ESPERA</v>
      </c>
      <c r="T442" s="101" t="str">
        <f>IF(VEND[[#This Row],[STATUS]]="O.C","APROBADO",IF(VEND[[#This Row],[STATUS]]="PERDIDO","PERDIDO",IF(VEND[[#This Row],[STATUS]]="EN ESPERA","EN ESPERA")))</f>
        <v>EN ESPERA</v>
      </c>
      <c r="U442" s="112" t="s">
        <v>23</v>
      </c>
      <c r="V442" s="112" t="s">
        <v>23</v>
      </c>
      <c r="W442" s="112" t="s">
        <v>1402</v>
      </c>
      <c r="X442" s="101"/>
    </row>
    <row r="443" spans="2:24" ht="15.75" x14ac:dyDescent="0.25">
      <c r="B443" s="70">
        <v>44329</v>
      </c>
      <c r="C443" s="70" t="str">
        <f>TEXT(VEND[[#This Row],[Fecha de Envío
Cotización]],"mmmm")</f>
        <v>mayo</v>
      </c>
      <c r="D443" s="66" t="s">
        <v>50</v>
      </c>
      <c r="E443" s="125" t="s">
        <v>42</v>
      </c>
      <c r="F443" s="125" t="str">
        <f>IF(VEND[[#This Row],[STATUS]]="PERDIDO","N/A","En espera")</f>
        <v>N/A</v>
      </c>
      <c r="G443" s="125" t="str">
        <f>TEXT(VEND[[#This Row],[Fecha Recibe
O.C]],"mmmm")</f>
        <v>N/A</v>
      </c>
      <c r="H443" s="112">
        <v>1567</v>
      </c>
      <c r="I443" s="112" t="s">
        <v>55</v>
      </c>
      <c r="J443" s="101"/>
      <c r="K443" s="102">
        <v>1</v>
      </c>
      <c r="L443" s="123">
        <v>3982.34</v>
      </c>
      <c r="M443" s="112" t="s">
        <v>22</v>
      </c>
      <c r="N443" s="112">
        <v>0</v>
      </c>
      <c r="O443" s="212" t="str">
        <f>IF(VEND[[#This Row],[STATUS]]="O.C",(VEND[[#This Row],[Fecha Recibe
O.C]]+VEND[[#This Row],[Dias
entrega ]]),"")</f>
        <v/>
      </c>
      <c r="P443" s="215"/>
      <c r="Q443" s="102" t="str">
        <f>IFERROR(VEND[[#This Row],[Fecha de Despacho]]-VEND[[#This Row],[Fecha Estimada de Entrega a  Cliente]],"")</f>
        <v/>
      </c>
      <c r="R4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3" s="101" t="str">
        <f>IF(VEND[[#This Row],[STATUS]]="O.C","APROBADO",IF(VEND[[#This Row],[STATUS]]="PERDIDO","PERDIDO",IF(VEND[[#This Row],[STATUS]]="EN ESPERA","EN ESPERA")))</f>
        <v>PERDIDO</v>
      </c>
      <c r="T443" s="101" t="str">
        <f>IF(VEND[[#This Row],[STATUS]]="O.C","APROBADO",IF(VEND[[#This Row],[STATUS]]="PERDIDO","PERDIDO",IF(VEND[[#This Row],[STATUS]]="EN ESPERA","EN ESPERA")))</f>
        <v>PERDIDO</v>
      </c>
      <c r="U443" s="112" t="s">
        <v>23</v>
      </c>
      <c r="V443" s="112" t="s">
        <v>23</v>
      </c>
      <c r="W443" s="112" t="s">
        <v>1401</v>
      </c>
      <c r="X443" s="101"/>
    </row>
    <row r="444" spans="2:24" ht="15.75" x14ac:dyDescent="0.25">
      <c r="B444" s="70">
        <v>44329</v>
      </c>
      <c r="C444" s="70" t="str">
        <f>TEXT(VEND[[#This Row],[Fecha de Envío
Cotización]],"mmmm")</f>
        <v>mayo</v>
      </c>
      <c r="D444" s="66" t="s">
        <v>50</v>
      </c>
      <c r="E444" s="125" t="s">
        <v>88</v>
      </c>
      <c r="F444" s="125" t="str">
        <f>IF(VEND[[#This Row],[STATUS]]="PERDIDO","N/A","En espera")</f>
        <v>En espera</v>
      </c>
      <c r="G444" s="125" t="str">
        <f>TEXT(VEND[[#This Row],[Fecha Recibe
O.C]],"mmmm")</f>
        <v>En espera</v>
      </c>
      <c r="H444" s="112">
        <v>1568</v>
      </c>
      <c r="I444" s="112" t="s">
        <v>126</v>
      </c>
      <c r="J444" s="101"/>
      <c r="K444" s="102">
        <v>2</v>
      </c>
      <c r="L444" s="123">
        <v>542.87</v>
      </c>
      <c r="M444" s="112" t="s">
        <v>51</v>
      </c>
      <c r="N444" s="112">
        <v>21</v>
      </c>
      <c r="O444" s="212" t="str">
        <f>IF(VEND[[#This Row],[STATUS]]="O.C",(VEND[[#This Row],[Fecha Recibe
O.C]]+VEND[[#This Row],[Dias
entrega ]]),"")</f>
        <v/>
      </c>
      <c r="P444" s="215"/>
      <c r="Q444" s="102" t="str">
        <f>IFERROR(VEND[[#This Row],[Fecha de Despacho]]-VEND[[#This Row],[Fecha Estimada de Entrega a  Cliente]],"")</f>
        <v/>
      </c>
      <c r="R4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4" s="101" t="str">
        <f>IF(VEND[[#This Row],[STATUS]]="O.C","APROBADO",IF(VEND[[#This Row],[STATUS]]="PERDIDO","PERDIDO",IF(VEND[[#This Row],[STATUS]]="EN ESPERA","EN ESPERA")))</f>
        <v>EN ESPERA</v>
      </c>
      <c r="T444" s="101" t="str">
        <f>IF(VEND[[#This Row],[STATUS]]="O.C","APROBADO",IF(VEND[[#This Row],[STATUS]]="PERDIDO","PERDIDO",IF(VEND[[#This Row],[STATUS]]="EN ESPERA","EN ESPERA")))</f>
        <v>EN ESPERA</v>
      </c>
      <c r="U444" s="112" t="s">
        <v>23</v>
      </c>
      <c r="V444" s="112" t="s">
        <v>23</v>
      </c>
      <c r="W444" s="112" t="s">
        <v>1401</v>
      </c>
      <c r="X444" s="101"/>
    </row>
    <row r="445" spans="2:24" ht="15.75" x14ac:dyDescent="0.25">
      <c r="B445" s="70">
        <v>44329</v>
      </c>
      <c r="C445" s="70" t="str">
        <f>TEXT(VEND[[#This Row],[Fecha de Envío
Cotización]],"mmmm")</f>
        <v>mayo</v>
      </c>
      <c r="D445" s="66" t="s">
        <v>50</v>
      </c>
      <c r="E445" s="115" t="s">
        <v>88</v>
      </c>
      <c r="F445" s="115" t="str">
        <f>IF(VEND[[#This Row],[STATUS]]="PERDIDO","N/A","En espera")</f>
        <v>En espera</v>
      </c>
      <c r="G445" s="125" t="str">
        <f>TEXT(VEND[[#This Row],[Fecha Recibe
O.C]],"mmmm")</f>
        <v>En espera</v>
      </c>
      <c r="H445" s="112">
        <v>1569</v>
      </c>
      <c r="I445" s="101" t="s">
        <v>33</v>
      </c>
      <c r="J445" s="101"/>
      <c r="K445" s="147">
        <v>1</v>
      </c>
      <c r="L445" s="123">
        <v>1715.63</v>
      </c>
      <c r="M445" s="112" t="s">
        <v>51</v>
      </c>
      <c r="N445" s="112">
        <v>21</v>
      </c>
      <c r="O445" s="212" t="str">
        <f>IF(VEND[[#This Row],[STATUS]]="O.C",(VEND[[#This Row],[Fecha Recibe
O.C]]+VEND[[#This Row],[Dias
entrega ]]),"")</f>
        <v/>
      </c>
      <c r="P445" s="215"/>
      <c r="Q445" s="102" t="str">
        <f>IFERROR(VEND[[#This Row],[Fecha de Despacho]]-VEND[[#This Row],[Fecha Estimada de Entrega a  Cliente]],"")</f>
        <v/>
      </c>
      <c r="R4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5" s="101" t="str">
        <f>IF(VEND[[#This Row],[STATUS]]="O.C","APROBADO",IF(VEND[[#This Row],[STATUS]]="PERDIDO","PERDIDO",IF(VEND[[#This Row],[STATUS]]="EN ESPERA","EN ESPERA")))</f>
        <v>EN ESPERA</v>
      </c>
      <c r="T445" s="101" t="str">
        <f>IF(VEND[[#This Row],[STATUS]]="O.C","APROBADO",IF(VEND[[#This Row],[STATUS]]="PERDIDO","PERDIDO",IF(VEND[[#This Row],[STATUS]]="EN ESPERA","EN ESPERA")))</f>
        <v>EN ESPERA</v>
      </c>
      <c r="U445" s="112" t="s">
        <v>23</v>
      </c>
      <c r="V445" s="112" t="s">
        <v>23</v>
      </c>
      <c r="W445" s="112" t="s">
        <v>1402</v>
      </c>
      <c r="X445" s="101"/>
    </row>
    <row r="446" spans="2:24" ht="15.75" x14ac:dyDescent="0.25">
      <c r="B446" s="70">
        <v>44329</v>
      </c>
      <c r="C446" s="70" t="str">
        <f>TEXT(VEND[[#This Row],[Fecha de Envío
Cotización]],"mmmm")</f>
        <v>mayo</v>
      </c>
      <c r="D446" s="66" t="s">
        <v>50</v>
      </c>
      <c r="E446" s="115" t="s">
        <v>88</v>
      </c>
      <c r="F446" s="125" t="str">
        <f>IF(VEND[[#This Row],[STATUS]]="PERDIDO","N/A","En espera")</f>
        <v>En espera</v>
      </c>
      <c r="G446" s="125" t="str">
        <f>TEXT(VEND[[#This Row],[Fecha Recibe
O.C]],"mmmm")</f>
        <v>En espera</v>
      </c>
      <c r="H446" s="112">
        <v>1570</v>
      </c>
      <c r="I446" s="112" t="s">
        <v>1066</v>
      </c>
      <c r="J446" s="101"/>
      <c r="K446" s="102">
        <v>1</v>
      </c>
      <c r="L446" s="123">
        <v>953.43</v>
      </c>
      <c r="M446" s="112" t="s">
        <v>51</v>
      </c>
      <c r="N446" s="112">
        <v>21</v>
      </c>
      <c r="O446" s="212" t="str">
        <f>IF(VEND[[#This Row],[STATUS]]="O.C",(VEND[[#This Row],[Fecha Recibe
O.C]]+VEND[[#This Row],[Dias
entrega ]]),"")</f>
        <v/>
      </c>
      <c r="P446" s="215"/>
      <c r="Q446" s="102" t="str">
        <f>IFERROR(VEND[[#This Row],[Fecha de Despacho]]-VEND[[#This Row],[Fecha Estimada de Entrega a  Cliente]],"")</f>
        <v/>
      </c>
      <c r="R4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6" s="101" t="str">
        <f>IF(VEND[[#This Row],[STATUS]]="O.C","APROBADO",IF(VEND[[#This Row],[STATUS]]="PERDIDO","PERDIDO",IF(VEND[[#This Row],[STATUS]]="EN ESPERA","EN ESPERA")))</f>
        <v>EN ESPERA</v>
      </c>
      <c r="T446" s="101" t="str">
        <f>IF(VEND[[#This Row],[STATUS]]="O.C","APROBADO",IF(VEND[[#This Row],[STATUS]]="PERDIDO","PERDIDO",IF(VEND[[#This Row],[STATUS]]="EN ESPERA","EN ESPERA")))</f>
        <v>EN ESPERA</v>
      </c>
      <c r="U446" s="112" t="s">
        <v>23</v>
      </c>
      <c r="V446" s="112" t="s">
        <v>23</v>
      </c>
      <c r="W446" s="112" t="s">
        <v>1401</v>
      </c>
      <c r="X446" s="101"/>
    </row>
    <row r="447" spans="2:24" ht="15.75" x14ac:dyDescent="0.25">
      <c r="B447" s="70">
        <v>44329</v>
      </c>
      <c r="C447" s="70" t="str">
        <f>TEXT(VEND[[#This Row],[Fecha de Envío
Cotización]],"mmmm")</f>
        <v>mayo</v>
      </c>
      <c r="D447" s="66" t="s">
        <v>50</v>
      </c>
      <c r="E447" s="115" t="s">
        <v>88</v>
      </c>
      <c r="F447" s="125" t="str">
        <f>IF(VEND[[#This Row],[STATUS]]="PERDIDO","N/A","En espera")</f>
        <v>En espera</v>
      </c>
      <c r="G447" s="125" t="str">
        <f>TEXT(VEND[[#This Row],[Fecha Recibe
O.C]],"mmmm")</f>
        <v>En espera</v>
      </c>
      <c r="H447" s="112">
        <v>1571</v>
      </c>
      <c r="I447" s="101" t="s">
        <v>283</v>
      </c>
      <c r="J447" s="101"/>
      <c r="K447" s="102">
        <v>1</v>
      </c>
      <c r="L447" s="123">
        <v>4023.73</v>
      </c>
      <c r="M447" s="112" t="s">
        <v>419</v>
      </c>
      <c r="N447" s="112">
        <v>35</v>
      </c>
      <c r="O447" s="212" t="str">
        <f>IF(VEND[[#This Row],[STATUS]]="O.C",(VEND[[#This Row],[Fecha Recibe
O.C]]+VEND[[#This Row],[Dias
entrega ]]),"")</f>
        <v/>
      </c>
      <c r="P447" s="215"/>
      <c r="Q447" s="102" t="str">
        <f>IFERROR(VEND[[#This Row],[Fecha de Despacho]]-VEND[[#This Row],[Fecha Estimada de Entrega a  Cliente]],"")</f>
        <v/>
      </c>
      <c r="R4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7" s="101" t="str">
        <f>IF(VEND[[#This Row],[STATUS]]="O.C","APROBADO",IF(VEND[[#This Row],[STATUS]]="PERDIDO","PERDIDO",IF(VEND[[#This Row],[STATUS]]="EN ESPERA","EN ESPERA")))</f>
        <v>EN ESPERA</v>
      </c>
      <c r="T447" s="101" t="str">
        <f>IF(VEND[[#This Row],[STATUS]]="O.C","APROBADO",IF(VEND[[#This Row],[STATUS]]="PERDIDO","PERDIDO",IF(VEND[[#This Row],[STATUS]]="EN ESPERA","EN ESPERA")))</f>
        <v>EN ESPERA</v>
      </c>
      <c r="U447" s="112" t="s">
        <v>23</v>
      </c>
      <c r="V447" s="112" t="s">
        <v>23</v>
      </c>
      <c r="W447" s="112" t="s">
        <v>1658</v>
      </c>
      <c r="X447" s="101"/>
    </row>
    <row r="448" spans="2:24" s="105" customFormat="1" ht="15.75" x14ac:dyDescent="0.25">
      <c r="B448" s="70">
        <v>44329</v>
      </c>
      <c r="C448" s="70" t="str">
        <f>TEXT(VEND[[#This Row],[Fecha de Envío
Cotización]],"mmmm")</f>
        <v>mayo</v>
      </c>
      <c r="D448" s="66" t="s">
        <v>50</v>
      </c>
      <c r="E448" s="115" t="s">
        <v>83</v>
      </c>
      <c r="F448" s="125">
        <v>44335</v>
      </c>
      <c r="G448" s="125" t="str">
        <f>TEXT(VEND[[#This Row],[Fecha Recibe
O.C]],"mmmm")</f>
        <v>mayo</v>
      </c>
      <c r="H448" s="112">
        <v>1572</v>
      </c>
      <c r="I448" s="101" t="s">
        <v>283</v>
      </c>
      <c r="J448" s="101"/>
      <c r="K448" s="102">
        <v>1</v>
      </c>
      <c r="L448" s="123">
        <v>491.58</v>
      </c>
      <c r="M448" s="112" t="s">
        <v>51</v>
      </c>
      <c r="N448" s="112">
        <v>21</v>
      </c>
      <c r="O448" s="212">
        <f>IF(VEND[[#This Row],[STATUS]]="O.C",(VEND[[#This Row],[Fecha Recibe
O.C]]+VEND[[#This Row],[Dias
entrega ]]),"")</f>
        <v>44356</v>
      </c>
      <c r="P448" s="215"/>
      <c r="Q448" s="102">
        <f>IFERROR(VEND[[#This Row],[Fecha de Despacho]]-VEND[[#This Row],[Fecha Estimada de Entrega a  Cliente]],"")</f>
        <v>-44356</v>
      </c>
      <c r="R4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8" s="101" t="str">
        <f>IF(VEND[[#This Row],[STATUS]]="O.C","APROBADO",IF(VEND[[#This Row],[STATUS]]="PERDIDO","PERDIDO",IF(VEND[[#This Row],[STATUS]]="EN ESPERA","EN ESPERA")))</f>
        <v>APROBADO</v>
      </c>
      <c r="T448" s="101" t="str">
        <f>IF(VEND[[#This Row],[STATUS]]="O.C","APROBADO",IF(VEND[[#This Row],[STATUS]]="PERDIDO","PERDIDO",IF(VEND[[#This Row],[STATUS]]="EN ESPERA","EN ESPERA")))</f>
        <v>APROBADO</v>
      </c>
      <c r="U448" s="112" t="s">
        <v>46</v>
      </c>
      <c r="V448" s="112" t="s">
        <v>46</v>
      </c>
      <c r="W448" s="112" t="s">
        <v>1658</v>
      </c>
      <c r="X448" s="101"/>
    </row>
    <row r="449" spans="2:24" ht="15.75" x14ac:dyDescent="0.25">
      <c r="B449" s="100">
        <v>44329</v>
      </c>
      <c r="C449" s="100" t="str">
        <f>TEXT(VEND[[#This Row],[Fecha de Envío
Cotización]],"mmmm")</f>
        <v>mayo</v>
      </c>
      <c r="D449" s="66" t="s">
        <v>1163</v>
      </c>
      <c r="E449" s="125" t="s">
        <v>88</v>
      </c>
      <c r="F449" s="125" t="str">
        <f>IF(VEND[[#This Row],[STATUS]]="PERDIDO","N/A","En espera")</f>
        <v>En espera</v>
      </c>
      <c r="G449" s="93" t="str">
        <f>TEXT(VEND[[#This Row],[Fecha Recibe
O.C]],"mmmm")</f>
        <v>En espera</v>
      </c>
      <c r="H449" s="112">
        <v>4562</v>
      </c>
      <c r="I449" s="101" t="s">
        <v>1241</v>
      </c>
      <c r="J449" s="101"/>
      <c r="K449" s="102">
        <v>1</v>
      </c>
      <c r="L449" s="123">
        <v>18158.099999999999</v>
      </c>
      <c r="M449" s="101"/>
      <c r="N449" s="112"/>
      <c r="O449" s="212" t="str">
        <f>IF(VEND[[#This Row],[STATUS]]="O.C",(VEND[[#This Row],[Fecha Recibe
O.C]]+VEND[[#This Row],[Dias
entrega ]]),"")</f>
        <v/>
      </c>
      <c r="P449" s="215"/>
      <c r="Q449" s="102" t="str">
        <f>IFERROR(VEND[[#This Row],[Fecha de Despacho]]-VEND[[#This Row],[Fecha Estimada de Entrega a  Cliente]],"")</f>
        <v/>
      </c>
      <c r="R4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49" s="101" t="str">
        <f>IF(VEND[[#This Row],[STATUS]]="O.C","APROBADO",IF(VEND[[#This Row],[STATUS]]="PERDIDO","PERDIDO",IF(VEND[[#This Row],[STATUS]]="EN ESPERA","EN ESPERA")))</f>
        <v>EN ESPERA</v>
      </c>
      <c r="T449" s="101" t="str">
        <f>IF(VEND[[#This Row],[STATUS]]="O.C","APROBADO",IF(VEND[[#This Row],[STATUS]]="PERDIDO","PERDIDO",IF(VEND[[#This Row],[STATUS]]="EN ESPERA","EN ESPERA")))</f>
        <v>EN ESPERA</v>
      </c>
      <c r="U449" s="112" t="s">
        <v>23</v>
      </c>
      <c r="V449" s="112" t="s">
        <v>23</v>
      </c>
      <c r="W449" s="112" t="s">
        <v>1409</v>
      </c>
      <c r="X449" s="101"/>
    </row>
    <row r="450" spans="2:24" ht="15.75" x14ac:dyDescent="0.25">
      <c r="B450" s="100">
        <v>44329</v>
      </c>
      <c r="C450" s="100" t="str">
        <f>TEXT(VEND[[#This Row],[Fecha de Envío
Cotización]],"mmmm")</f>
        <v>mayo</v>
      </c>
      <c r="D450" s="66" t="s">
        <v>1163</v>
      </c>
      <c r="E450" s="98" t="s">
        <v>88</v>
      </c>
      <c r="F450" s="125" t="str">
        <f>IF(VEND[[#This Row],[STATUS]]="PERDIDO","N/A","En espera")</f>
        <v>En espera</v>
      </c>
      <c r="G450" s="93" t="str">
        <f>TEXT(VEND[[#This Row],[Fecha Recibe
O.C]],"mmmm")</f>
        <v>En espera</v>
      </c>
      <c r="H450" s="112">
        <v>4564</v>
      </c>
      <c r="I450" s="101" t="s">
        <v>1241</v>
      </c>
      <c r="J450" s="101"/>
      <c r="K450" s="102">
        <v>7</v>
      </c>
      <c r="L450" s="123">
        <v>4156.3</v>
      </c>
      <c r="M450" s="101"/>
      <c r="N450" s="112"/>
      <c r="O450" s="212" t="str">
        <f>IF(VEND[[#This Row],[STATUS]]="O.C",(VEND[[#This Row],[Fecha Recibe
O.C]]+VEND[[#This Row],[Dias
entrega ]]),"")</f>
        <v/>
      </c>
      <c r="P450" s="215"/>
      <c r="Q450" s="102" t="str">
        <f>IFERROR(VEND[[#This Row],[Fecha de Despacho]]-VEND[[#This Row],[Fecha Estimada de Entrega a  Cliente]],"")</f>
        <v/>
      </c>
      <c r="R4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0" s="101" t="str">
        <f>IF(VEND[[#This Row],[STATUS]]="O.C","APROBADO",IF(VEND[[#This Row],[STATUS]]="PERDIDO","PERDIDO",IF(VEND[[#This Row],[STATUS]]="EN ESPERA","EN ESPERA")))</f>
        <v>EN ESPERA</v>
      </c>
      <c r="T450" s="101" t="str">
        <f>IF(VEND[[#This Row],[STATUS]]="O.C","APROBADO",IF(VEND[[#This Row],[STATUS]]="PERDIDO","PERDIDO",IF(VEND[[#This Row],[STATUS]]="EN ESPERA","EN ESPERA")))</f>
        <v>EN ESPERA</v>
      </c>
      <c r="U450" s="112" t="s">
        <v>23</v>
      </c>
      <c r="V450" s="112" t="s">
        <v>23</v>
      </c>
      <c r="W450" s="112" t="s">
        <v>1409</v>
      </c>
      <c r="X450" s="101"/>
    </row>
    <row r="451" spans="2:24" ht="15.75" x14ac:dyDescent="0.25">
      <c r="B451" s="235">
        <v>44329</v>
      </c>
      <c r="C451" s="100" t="str">
        <f>TEXT(VEND[[#This Row],[Fecha de Envío
Cotización]],"mmmm")</f>
        <v>mayo</v>
      </c>
      <c r="D451" s="66" t="s">
        <v>1163</v>
      </c>
      <c r="E451" s="98" t="s">
        <v>83</v>
      </c>
      <c r="F451" s="93">
        <v>44342</v>
      </c>
      <c r="G451" s="93" t="str">
        <f>TEXT(VEND[[#This Row],[Fecha Recibe
O.C]],"mmmm")</f>
        <v>mayo</v>
      </c>
      <c r="H451" s="112">
        <v>4566</v>
      </c>
      <c r="I451" s="101" t="s">
        <v>1241</v>
      </c>
      <c r="J451" s="101"/>
      <c r="K451" s="102">
        <v>2</v>
      </c>
      <c r="L451" s="123">
        <v>102.97</v>
      </c>
      <c r="M451" s="101"/>
      <c r="N451" s="112"/>
      <c r="O451" s="215">
        <f>IF(VEND[[#This Row],[STATUS]]="O.C",(VEND[[#This Row],[Fecha Recibe
O.C]]+VEND[[#This Row],[Dias
entrega ]]),"")</f>
        <v>44342</v>
      </c>
      <c r="P451" s="215"/>
      <c r="Q451" s="102">
        <f>IFERROR(VEND[[#This Row],[Fecha de Despacho]]-VEND[[#This Row],[Fecha Estimada de Entrega a  Cliente]],"")</f>
        <v>-44342</v>
      </c>
      <c r="R4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1" s="101" t="str">
        <f>IF(VEND[[#This Row],[STATUS]]="O.C","APROBADO",IF(VEND[[#This Row],[STATUS]]="PERDIDO","PERDIDO",IF(VEND[[#This Row],[STATUS]]="EN ESPERA","EN ESPERA")))</f>
        <v>APROBADO</v>
      </c>
      <c r="T451" s="101" t="str">
        <f>IF(VEND[[#This Row],[STATUS]]="O.C","APROBADO",IF(VEND[[#This Row],[STATUS]]="PERDIDO","PERDIDO",IF(VEND[[#This Row],[STATUS]]="EN ESPERA","EN ESPERA")))</f>
        <v>APROBADO</v>
      </c>
      <c r="U451" s="112" t="s">
        <v>23</v>
      </c>
      <c r="V451" s="112" t="s">
        <v>23</v>
      </c>
      <c r="W451" s="112" t="s">
        <v>1409</v>
      </c>
      <c r="X451" s="112" t="s">
        <v>1697</v>
      </c>
    </row>
    <row r="452" spans="2:24" ht="15.75" x14ac:dyDescent="0.25">
      <c r="B452" s="235">
        <v>44329</v>
      </c>
      <c r="C452" s="100" t="str">
        <f>TEXT(VEND[[#This Row],[Fecha de Envío
Cotización]],"mmmm")</f>
        <v>mayo</v>
      </c>
      <c r="D452" s="66" t="s">
        <v>1163</v>
      </c>
      <c r="E452" s="98" t="s">
        <v>83</v>
      </c>
      <c r="F452" s="93">
        <v>44342</v>
      </c>
      <c r="G452" s="93" t="str">
        <f>TEXT(VEND[[#This Row],[Fecha Recibe
O.C]],"mmmm")</f>
        <v>mayo</v>
      </c>
      <c r="H452" s="112">
        <v>4567</v>
      </c>
      <c r="I452" s="101" t="s">
        <v>1241</v>
      </c>
      <c r="J452" s="101"/>
      <c r="K452" s="102">
        <v>2</v>
      </c>
      <c r="L452" s="123">
        <v>1537.4</v>
      </c>
      <c r="M452" s="101"/>
      <c r="N452" s="112"/>
      <c r="O452" s="215">
        <f>IF(VEND[[#This Row],[STATUS]]="O.C",(VEND[[#This Row],[Fecha Recibe
O.C]]+VEND[[#This Row],[Dias
entrega ]]),"")</f>
        <v>44342</v>
      </c>
      <c r="P452" s="215"/>
      <c r="Q452" s="102">
        <f>IFERROR(VEND[[#This Row],[Fecha de Despacho]]-VEND[[#This Row],[Fecha Estimada de Entrega a  Cliente]],"")</f>
        <v>-44342</v>
      </c>
      <c r="R4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2" s="101" t="str">
        <f>IF(VEND[[#This Row],[STATUS]]="O.C","APROBADO",IF(VEND[[#This Row],[STATUS]]="PERDIDO","PERDIDO",IF(VEND[[#This Row],[STATUS]]="EN ESPERA","EN ESPERA")))</f>
        <v>APROBADO</v>
      </c>
      <c r="T452" s="101" t="str">
        <f>IF(VEND[[#This Row],[STATUS]]="O.C","APROBADO",IF(VEND[[#This Row],[STATUS]]="PERDIDO","PERDIDO",IF(VEND[[#This Row],[STATUS]]="EN ESPERA","EN ESPERA")))</f>
        <v>APROBADO</v>
      </c>
      <c r="U452" s="112" t="s">
        <v>46</v>
      </c>
      <c r="V452" s="112" t="s">
        <v>46</v>
      </c>
      <c r="W452" s="112" t="s">
        <v>1409</v>
      </c>
      <c r="X452" s="112" t="s">
        <v>1771</v>
      </c>
    </row>
    <row r="453" spans="2:24" ht="15.75" x14ac:dyDescent="0.25">
      <c r="B453" s="100">
        <v>44329</v>
      </c>
      <c r="C453" s="100" t="str">
        <f>TEXT(VEND[[#This Row],[Fecha de Envío
Cotización]],"mmmm")</f>
        <v>mayo</v>
      </c>
      <c r="D453" s="66" t="s">
        <v>1163</v>
      </c>
      <c r="E453" s="98" t="s">
        <v>88</v>
      </c>
      <c r="F453" s="125" t="str">
        <f>IF(VEND[[#This Row],[STATUS]]="PERDIDO","N/A","En espera")</f>
        <v>En espera</v>
      </c>
      <c r="G453" s="93" t="str">
        <f>TEXT(VEND[[#This Row],[Fecha Recibe
O.C]],"mmmm")</f>
        <v>En espera</v>
      </c>
      <c r="H453" s="112">
        <v>4568</v>
      </c>
      <c r="I453" s="101" t="s">
        <v>1241</v>
      </c>
      <c r="J453" s="101"/>
      <c r="K453" s="102">
        <v>2</v>
      </c>
      <c r="L453" s="123">
        <v>10088.120000000001</v>
      </c>
      <c r="M453" s="101"/>
      <c r="N453" s="112"/>
      <c r="O453" s="212" t="str">
        <f>IF(VEND[[#This Row],[STATUS]]="O.C",(VEND[[#This Row],[Fecha Recibe
O.C]]+VEND[[#This Row],[Dias
entrega ]]),"")</f>
        <v/>
      </c>
      <c r="P453" s="215"/>
      <c r="Q453" s="102" t="str">
        <f>IFERROR(VEND[[#This Row],[Fecha de Despacho]]-VEND[[#This Row],[Fecha Estimada de Entrega a  Cliente]],"")</f>
        <v/>
      </c>
      <c r="R4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3" s="101" t="str">
        <f>IF(VEND[[#This Row],[STATUS]]="O.C","APROBADO",IF(VEND[[#This Row],[STATUS]]="PERDIDO","PERDIDO",IF(VEND[[#This Row],[STATUS]]="EN ESPERA","EN ESPERA")))</f>
        <v>EN ESPERA</v>
      </c>
      <c r="T453" s="101" t="str">
        <f>IF(VEND[[#This Row],[STATUS]]="O.C","APROBADO",IF(VEND[[#This Row],[STATUS]]="PERDIDO","PERDIDO",IF(VEND[[#This Row],[STATUS]]="EN ESPERA","EN ESPERA")))</f>
        <v>EN ESPERA</v>
      </c>
      <c r="U453" s="112" t="s">
        <v>23</v>
      </c>
      <c r="V453" s="112" t="s">
        <v>23</v>
      </c>
      <c r="W453" s="112" t="s">
        <v>1409</v>
      </c>
      <c r="X453" s="101"/>
    </row>
    <row r="454" spans="2:24" ht="15.75" x14ac:dyDescent="0.25">
      <c r="B454" s="100">
        <v>44329</v>
      </c>
      <c r="C454" s="100" t="str">
        <f>TEXT(VEND[[#This Row],[Fecha de Envío
Cotización]],"mmmm")</f>
        <v>mayo</v>
      </c>
      <c r="D454" s="66" t="s">
        <v>1163</v>
      </c>
      <c r="E454" s="98" t="s">
        <v>88</v>
      </c>
      <c r="F454" s="125" t="str">
        <f>IF(VEND[[#This Row],[STATUS]]="PERDIDO","N/A","En espera")</f>
        <v>En espera</v>
      </c>
      <c r="G454" s="93" t="str">
        <f>TEXT(VEND[[#This Row],[Fecha Recibe
O.C]],"mmmm")</f>
        <v>En espera</v>
      </c>
      <c r="H454" s="112">
        <v>4569</v>
      </c>
      <c r="I454" s="101" t="s">
        <v>1241</v>
      </c>
      <c r="J454" s="101"/>
      <c r="K454" s="102">
        <v>4</v>
      </c>
      <c r="L454" s="123">
        <v>10234.120000000001</v>
      </c>
      <c r="M454" s="101"/>
      <c r="N454" s="112"/>
      <c r="O454" s="212" t="str">
        <f>IF(VEND[[#This Row],[STATUS]]="O.C",(VEND[[#This Row],[Fecha Recibe
O.C]]+VEND[[#This Row],[Dias
entrega ]]),"")</f>
        <v/>
      </c>
      <c r="P454" s="215"/>
      <c r="Q454" s="102" t="str">
        <f>IFERROR(VEND[[#This Row],[Fecha de Despacho]]-VEND[[#This Row],[Fecha Estimada de Entrega a  Cliente]],"")</f>
        <v/>
      </c>
      <c r="R4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4" s="101" t="str">
        <f>IF(VEND[[#This Row],[STATUS]]="O.C","APROBADO",IF(VEND[[#This Row],[STATUS]]="PERDIDO","PERDIDO",IF(VEND[[#This Row],[STATUS]]="EN ESPERA","EN ESPERA")))</f>
        <v>EN ESPERA</v>
      </c>
      <c r="T454" s="101" t="str">
        <f>IF(VEND[[#This Row],[STATUS]]="O.C","APROBADO",IF(VEND[[#This Row],[STATUS]]="PERDIDO","PERDIDO",IF(VEND[[#This Row],[STATUS]]="EN ESPERA","EN ESPERA")))</f>
        <v>EN ESPERA</v>
      </c>
      <c r="U454" s="112" t="s">
        <v>23</v>
      </c>
      <c r="V454" s="112" t="s">
        <v>23</v>
      </c>
      <c r="W454" s="112" t="s">
        <v>1409</v>
      </c>
      <c r="X454" s="101"/>
    </row>
    <row r="455" spans="2:24" ht="15.75" x14ac:dyDescent="0.25">
      <c r="B455" s="70">
        <v>44329</v>
      </c>
      <c r="C455" s="70" t="str">
        <f>TEXT(VEND[[#This Row],[Fecha de Envío
Cotización]],"mmmm")</f>
        <v>mayo</v>
      </c>
      <c r="D455" s="66" t="s">
        <v>945</v>
      </c>
      <c r="E455" s="125" t="s">
        <v>42</v>
      </c>
      <c r="F455" s="125" t="str">
        <f>IF(VEND[[#This Row],[STATUS]]="PERDIDO","N/A","En espera")</f>
        <v>N/A</v>
      </c>
      <c r="G455" s="125" t="str">
        <f>TEXT(VEND[[#This Row],[Fecha Recibe
O.C]],"mmmm")</f>
        <v>N/A</v>
      </c>
      <c r="H455" s="112">
        <v>6030</v>
      </c>
      <c r="I455" s="112" t="s">
        <v>130</v>
      </c>
      <c r="J455" s="101"/>
      <c r="K455" s="102">
        <v>1</v>
      </c>
      <c r="L455" s="123">
        <v>515.04999999999995</v>
      </c>
      <c r="M455" s="112" t="s">
        <v>16</v>
      </c>
      <c r="N455" s="112">
        <v>21</v>
      </c>
      <c r="O455" s="212" t="str">
        <f>IF(VEND[[#This Row],[STATUS]]="O.C",(VEND[[#This Row],[Fecha Recibe
O.C]]+VEND[[#This Row],[Dias
entrega ]]),"")</f>
        <v/>
      </c>
      <c r="P455" s="215"/>
      <c r="Q455" s="102" t="str">
        <f>IFERROR(VEND[[#This Row],[Fecha de Despacho]]-VEND[[#This Row],[Fecha Estimada de Entrega a  Cliente]],"")</f>
        <v/>
      </c>
      <c r="R4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5" s="101" t="str">
        <f>IF(VEND[[#This Row],[STATUS]]="O.C","APROBADO",IF(VEND[[#This Row],[STATUS]]="PERDIDO","PERDIDO",IF(VEND[[#This Row],[STATUS]]="EN ESPERA","EN ESPERA")))</f>
        <v>PERDIDO</v>
      </c>
      <c r="T455" s="101" t="str">
        <f>IF(VEND[[#This Row],[STATUS]]="O.C","APROBADO",IF(VEND[[#This Row],[STATUS]]="PERDIDO","PERDIDO",IF(VEND[[#This Row],[STATUS]]="EN ESPERA","EN ESPERA")))</f>
        <v>PERDIDO</v>
      </c>
      <c r="U455" s="112" t="s">
        <v>23</v>
      </c>
      <c r="V455" s="112" t="s">
        <v>23</v>
      </c>
      <c r="W455" s="112" t="s">
        <v>1409</v>
      </c>
      <c r="X455" s="101"/>
    </row>
    <row r="456" spans="2:24" ht="15.75" x14ac:dyDescent="0.25">
      <c r="B456" s="70">
        <v>44329</v>
      </c>
      <c r="C456" s="70" t="str">
        <f>TEXT(VEND[[#This Row],[Fecha de Envío
Cotización]],"mmmm")</f>
        <v>mayo</v>
      </c>
      <c r="D456" s="66" t="s">
        <v>945</v>
      </c>
      <c r="E456" s="125" t="s">
        <v>88</v>
      </c>
      <c r="F456" s="125" t="str">
        <f>IF(VEND[[#This Row],[STATUS]]="PERDIDO","N/A","En espera")</f>
        <v>En espera</v>
      </c>
      <c r="G456" s="125" t="str">
        <f>TEXT(VEND[[#This Row],[Fecha Recibe
O.C]],"mmmm")</f>
        <v>En espera</v>
      </c>
      <c r="H456" s="112">
        <v>6031</v>
      </c>
      <c r="I456" s="101" t="s">
        <v>424</v>
      </c>
      <c r="J456" s="101"/>
      <c r="K456" s="102">
        <v>1</v>
      </c>
      <c r="L456" s="123">
        <v>1411.2</v>
      </c>
      <c r="M456" s="112" t="s">
        <v>22</v>
      </c>
      <c r="N456" s="112">
        <v>0</v>
      </c>
      <c r="O456" s="212" t="str">
        <f>IF(VEND[[#This Row],[STATUS]]="O.C",(VEND[[#This Row],[Fecha Recibe
O.C]]+VEND[[#This Row],[Dias
entrega ]]),"")</f>
        <v/>
      </c>
      <c r="P456" s="215"/>
      <c r="Q456" s="102" t="str">
        <f>IFERROR(VEND[[#This Row],[Fecha de Despacho]]-VEND[[#This Row],[Fecha Estimada de Entrega a  Cliente]],"")</f>
        <v/>
      </c>
      <c r="R4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6" s="101" t="str">
        <f>IF(VEND[[#This Row],[STATUS]]="O.C","APROBADO",IF(VEND[[#This Row],[STATUS]]="PERDIDO","PERDIDO",IF(VEND[[#This Row],[STATUS]]="EN ESPERA","EN ESPERA")))</f>
        <v>EN ESPERA</v>
      </c>
      <c r="T456" s="101" t="str">
        <f>IF(VEND[[#This Row],[STATUS]]="O.C","APROBADO",IF(VEND[[#This Row],[STATUS]]="PERDIDO","PERDIDO",IF(VEND[[#This Row],[STATUS]]="EN ESPERA","EN ESPERA")))</f>
        <v>EN ESPERA</v>
      </c>
      <c r="U456" s="112" t="s">
        <v>23</v>
      </c>
      <c r="V456" s="112" t="s">
        <v>23</v>
      </c>
      <c r="W456" s="112" t="s">
        <v>1402</v>
      </c>
      <c r="X456" s="101"/>
    </row>
    <row r="457" spans="2:24" ht="15.75" x14ac:dyDescent="0.25">
      <c r="B457" s="70">
        <v>44329</v>
      </c>
      <c r="C457" s="70" t="str">
        <f>TEXT(VEND[[#This Row],[Fecha de Envío
Cotización]],"mmmm")</f>
        <v>mayo</v>
      </c>
      <c r="D457" s="66" t="s">
        <v>945</v>
      </c>
      <c r="E457" s="125" t="s">
        <v>42</v>
      </c>
      <c r="F457" s="125" t="str">
        <f>IF(VEND[[#This Row],[STATUS]]="PERDIDO","N/A","En espera")</f>
        <v>N/A</v>
      </c>
      <c r="G457" s="125" t="str">
        <f>TEXT(VEND[[#This Row],[Fecha Recibe
O.C]],"mmmm")</f>
        <v>N/A</v>
      </c>
      <c r="H457" s="112">
        <v>6032</v>
      </c>
      <c r="I457" s="101" t="s">
        <v>144</v>
      </c>
      <c r="J457" s="101"/>
      <c r="K457" s="102">
        <v>7</v>
      </c>
      <c r="L457" s="123">
        <v>945.91</v>
      </c>
      <c r="M457" s="112" t="s">
        <v>22</v>
      </c>
      <c r="N457" s="112">
        <v>0</v>
      </c>
      <c r="O457" s="212" t="str">
        <f>IF(VEND[[#This Row],[STATUS]]="O.C",(VEND[[#This Row],[Fecha Recibe
O.C]]+VEND[[#This Row],[Dias
entrega ]]),"")</f>
        <v/>
      </c>
      <c r="P457" s="215"/>
      <c r="Q457" s="102" t="str">
        <f>IFERROR(VEND[[#This Row],[Fecha de Despacho]]-VEND[[#This Row],[Fecha Estimada de Entrega a  Cliente]],"")</f>
        <v/>
      </c>
      <c r="R4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7" s="101" t="str">
        <f>IF(VEND[[#This Row],[STATUS]]="O.C","APROBADO",IF(VEND[[#This Row],[STATUS]]="PERDIDO","PERDIDO",IF(VEND[[#This Row],[STATUS]]="EN ESPERA","EN ESPERA")))</f>
        <v>PERDIDO</v>
      </c>
      <c r="T457" s="101" t="str">
        <f>IF(VEND[[#This Row],[STATUS]]="O.C","APROBADO",IF(VEND[[#This Row],[STATUS]]="PERDIDO","PERDIDO",IF(VEND[[#This Row],[STATUS]]="EN ESPERA","EN ESPERA")))</f>
        <v>PERDIDO</v>
      </c>
      <c r="U457" s="112" t="s">
        <v>23</v>
      </c>
      <c r="V457" s="112" t="s">
        <v>23</v>
      </c>
      <c r="W457" s="112" t="s">
        <v>1401</v>
      </c>
      <c r="X457" s="101"/>
    </row>
    <row r="458" spans="2:24" ht="15.75" x14ac:dyDescent="0.25">
      <c r="B458" s="71">
        <v>44329</v>
      </c>
      <c r="C458" s="195" t="str">
        <f>TEXT(VEND[[#This Row],[Fecha de Envío
Cotización]],"mmmm")</f>
        <v>mayo</v>
      </c>
      <c r="D458" s="66" t="s">
        <v>945</v>
      </c>
      <c r="E458" s="190" t="s">
        <v>83</v>
      </c>
      <c r="F458" s="93">
        <v>44329</v>
      </c>
      <c r="G458" s="93" t="str">
        <f>TEXT(VEND[[#This Row],[Fecha Recibe
O.C]],"mmmm")</f>
        <v>mayo</v>
      </c>
      <c r="H458" s="112" t="s">
        <v>1836</v>
      </c>
      <c r="I458" s="112" t="s">
        <v>1837</v>
      </c>
      <c r="J458" s="112"/>
      <c r="K458" s="58">
        <v>1</v>
      </c>
      <c r="L458" s="123">
        <v>200</v>
      </c>
      <c r="M458" s="112" t="s">
        <v>119</v>
      </c>
      <c r="N458" s="112">
        <v>0</v>
      </c>
      <c r="O458" s="212">
        <f>IF(VEND[[#This Row],[STATUS]]="O.C",(VEND[[#This Row],[Fecha Recibe
O.C]]+VEND[[#This Row],[Dias
entrega ]]),"")</f>
        <v>44329</v>
      </c>
      <c r="P458" s="212">
        <v>44329</v>
      </c>
      <c r="Q458" s="58">
        <f>IFERROR(VEND[[#This Row],[Fecha de Despacho]]-VEND[[#This Row],[Fecha Estimada de Entrega a  Cliente]],"")</f>
        <v>0</v>
      </c>
      <c r="R4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8" s="112" t="str">
        <f>IF(VEND[[#This Row],[STATUS]]="O.C","APROBADO",IF(VEND[[#This Row],[STATUS]]="PERDIDO","PERDIDO",IF(VEND[[#This Row],[STATUS]]="EN ESPERA","EN ESPERA")))</f>
        <v>APROBADO</v>
      </c>
      <c r="T458" s="112" t="str">
        <f>IF(VEND[[#This Row],[STATUS]]="O.C","APROBADO",IF(VEND[[#This Row],[STATUS]]="PERDIDO","PERDIDO",IF(VEND[[#This Row],[STATUS]]="EN ESPERA","EN ESPERA")))</f>
        <v>APROBADO</v>
      </c>
      <c r="U458" s="112" t="s">
        <v>45</v>
      </c>
      <c r="V458" s="112" t="s">
        <v>47</v>
      </c>
      <c r="W458" s="112" t="s">
        <v>1402</v>
      </c>
      <c r="X458" s="112"/>
    </row>
    <row r="459" spans="2:24" ht="15.75" x14ac:dyDescent="0.25">
      <c r="B459" s="46">
        <v>44330</v>
      </c>
      <c r="C459" s="188" t="str">
        <f>TEXT(VEND[[#This Row],[Fecha de Envío
Cotización]],"mmmm")</f>
        <v>mayo</v>
      </c>
      <c r="D459" s="66" t="s">
        <v>1163</v>
      </c>
      <c r="E459" s="125" t="s">
        <v>88</v>
      </c>
      <c r="F459" s="125" t="str">
        <f>IF(VEND[[#This Row],[STATUS]]="PERDIDO","N/A","En espera")</f>
        <v>En espera</v>
      </c>
      <c r="G459" s="127" t="str">
        <f>TEXT(VEND[[#This Row],[Fecha Recibe
O.C]],"mmmm")</f>
        <v>En espera</v>
      </c>
      <c r="H459" s="112">
        <v>443</v>
      </c>
      <c r="I459" s="128" t="s">
        <v>1241</v>
      </c>
      <c r="J459" s="128"/>
      <c r="K459" s="129">
        <v>2</v>
      </c>
      <c r="L459" s="123">
        <v>56003.3</v>
      </c>
      <c r="M459" s="128"/>
      <c r="N459" s="112"/>
      <c r="O459" s="212" t="str">
        <f>IF(VEND[[#This Row],[STATUS]]="O.C",(VEND[[#This Row],[Fecha Recibe
O.C]]+VEND[[#This Row],[Dias
entrega ]]),"")</f>
        <v/>
      </c>
      <c r="P459" s="216"/>
      <c r="Q459" s="129" t="str">
        <f>IFERROR(VEND[[#This Row],[Fecha de Despacho]]-VEND[[#This Row],[Fecha Estimada de Entrega a  Cliente]],"")</f>
        <v/>
      </c>
      <c r="R4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59" s="128" t="str">
        <f>IF(VEND[[#This Row],[STATUS]]="O.C","APROBADO",IF(VEND[[#This Row],[STATUS]]="PERDIDO","PERDIDO",IF(VEND[[#This Row],[STATUS]]="EN ESPERA","EN ESPERA")))</f>
        <v>EN ESPERA</v>
      </c>
      <c r="T459" s="128" t="str">
        <f>IF(VEND[[#This Row],[STATUS]]="O.C","APROBADO",IF(VEND[[#This Row],[STATUS]]="PERDIDO","PERDIDO",IF(VEND[[#This Row],[STATUS]]="EN ESPERA","EN ESPERA")))</f>
        <v>EN ESPERA</v>
      </c>
      <c r="U459" s="112" t="s">
        <v>23</v>
      </c>
      <c r="V459" s="112" t="s">
        <v>23</v>
      </c>
      <c r="W459" s="112" t="s">
        <v>1409</v>
      </c>
      <c r="X459" s="128"/>
    </row>
    <row r="460" spans="2:24" ht="15.75" x14ac:dyDescent="0.25">
      <c r="B460" s="71">
        <v>44330</v>
      </c>
      <c r="C460" s="71" t="str">
        <f>TEXT(VEND[[#This Row],[Fecha de Envío
Cotización]],"mmmm")</f>
        <v>mayo</v>
      </c>
      <c r="D460" s="66" t="s">
        <v>50</v>
      </c>
      <c r="E460" s="125" t="s">
        <v>88</v>
      </c>
      <c r="F460" s="125" t="str">
        <f>IF(VEND[[#This Row],[STATUS]]="PERDIDO","N/A","En espera")</f>
        <v>En espera</v>
      </c>
      <c r="G460" s="125" t="str">
        <f>TEXT(VEND[[#This Row],[Fecha Recibe
O.C]],"mmmm")</f>
        <v>En espera</v>
      </c>
      <c r="H460" s="112">
        <v>1573</v>
      </c>
      <c r="I460" s="112" t="s">
        <v>1500</v>
      </c>
      <c r="J460" s="112"/>
      <c r="K460" s="58">
        <v>1</v>
      </c>
      <c r="L460" s="123">
        <v>15451.68</v>
      </c>
      <c r="M460" s="112" t="s">
        <v>119</v>
      </c>
      <c r="N460" s="112">
        <v>0</v>
      </c>
      <c r="O460" s="212" t="str">
        <f>IF(VEND[[#This Row],[STATUS]]="O.C",(VEND[[#This Row],[Fecha Recibe
O.C]]+VEND[[#This Row],[Dias
entrega ]]),"")</f>
        <v/>
      </c>
      <c r="P460" s="212"/>
      <c r="Q460" s="58" t="str">
        <f>IFERROR(VEND[[#This Row],[Fecha de Despacho]]-VEND[[#This Row],[Fecha Estimada de Entrega a  Cliente]],"")</f>
        <v/>
      </c>
      <c r="R4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0" s="112" t="str">
        <f>IF(VEND[[#This Row],[STATUS]]="O.C","APROBADO",IF(VEND[[#This Row],[STATUS]]="PERDIDO","PERDIDO",IF(VEND[[#This Row],[STATUS]]="EN ESPERA","EN ESPERA")))</f>
        <v>EN ESPERA</v>
      </c>
      <c r="T460" s="112" t="str">
        <f>IF(VEND[[#This Row],[STATUS]]="O.C","APROBADO",IF(VEND[[#This Row],[STATUS]]="PERDIDO","PERDIDO",IF(VEND[[#This Row],[STATUS]]="EN ESPERA","EN ESPERA")))</f>
        <v>EN ESPERA</v>
      </c>
      <c r="U460" s="112" t="s">
        <v>23</v>
      </c>
      <c r="V460" s="112" t="s">
        <v>23</v>
      </c>
      <c r="W460" s="112" t="s">
        <v>1401</v>
      </c>
      <c r="X460" s="112"/>
    </row>
    <row r="461" spans="2:24" s="105" customFormat="1" ht="15.75" x14ac:dyDescent="0.25">
      <c r="B461" s="71">
        <v>44330</v>
      </c>
      <c r="C461" s="71" t="str">
        <f>TEXT(VEND[[#This Row],[Fecha de Envío
Cotización]],"mmmm")</f>
        <v>mayo</v>
      </c>
      <c r="D461" s="66" t="s">
        <v>50</v>
      </c>
      <c r="E461" s="125" t="s">
        <v>88</v>
      </c>
      <c r="F461" s="125" t="str">
        <f>IF(VEND[[#This Row],[STATUS]]="PERDIDO","N/A","En espera")</f>
        <v>En espera</v>
      </c>
      <c r="G461" s="125" t="str">
        <f>TEXT(VEND[[#This Row],[Fecha Recibe
O.C]],"mmmm")</f>
        <v>En espera</v>
      </c>
      <c r="H461" s="112">
        <v>1574</v>
      </c>
      <c r="I461" s="112" t="s">
        <v>129</v>
      </c>
      <c r="J461" s="112"/>
      <c r="K461" s="58">
        <v>2</v>
      </c>
      <c r="L461" s="123">
        <v>1072.71</v>
      </c>
      <c r="M461" s="112" t="s">
        <v>51</v>
      </c>
      <c r="N461" s="112">
        <v>21</v>
      </c>
      <c r="O461" s="212" t="str">
        <f>IF(VEND[[#This Row],[STATUS]]="O.C",(VEND[[#This Row],[Fecha Recibe
O.C]]+VEND[[#This Row],[Dias
entrega ]]),"")</f>
        <v/>
      </c>
      <c r="P461" s="212"/>
      <c r="Q461" s="58" t="str">
        <f>IFERROR(VEND[[#This Row],[Fecha de Despacho]]-VEND[[#This Row],[Fecha Estimada de Entrega a  Cliente]],"")</f>
        <v/>
      </c>
      <c r="R4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1" s="112" t="str">
        <f>IF(VEND[[#This Row],[STATUS]]="O.C","APROBADO",IF(VEND[[#This Row],[STATUS]]="PERDIDO","PERDIDO",IF(VEND[[#This Row],[STATUS]]="EN ESPERA","EN ESPERA")))</f>
        <v>EN ESPERA</v>
      </c>
      <c r="T461" s="112" t="str">
        <f>IF(VEND[[#This Row],[STATUS]]="O.C","APROBADO",IF(VEND[[#This Row],[STATUS]]="PERDIDO","PERDIDO",IF(VEND[[#This Row],[STATUS]]="EN ESPERA","EN ESPERA")))</f>
        <v>EN ESPERA</v>
      </c>
      <c r="U461" s="112" t="s">
        <v>23</v>
      </c>
      <c r="V461" s="112" t="s">
        <v>23</v>
      </c>
      <c r="W461" s="112" t="s">
        <v>1402</v>
      </c>
      <c r="X461" s="112"/>
    </row>
    <row r="462" spans="2:24" ht="15.75" x14ac:dyDescent="0.25">
      <c r="B462" s="71">
        <v>44330</v>
      </c>
      <c r="C462" s="71" t="str">
        <f>TEXT(VEND[[#This Row],[Fecha de Envío
Cotización]],"mmmm")</f>
        <v>mayo</v>
      </c>
      <c r="D462" s="66" t="s">
        <v>50</v>
      </c>
      <c r="E462" s="125" t="s">
        <v>88</v>
      </c>
      <c r="F462" s="125" t="str">
        <f>IF(VEND[[#This Row],[STATUS]]="PERDIDO","N/A","En espera")</f>
        <v>En espera</v>
      </c>
      <c r="G462" s="125" t="str">
        <f>TEXT(VEND[[#This Row],[Fecha Recibe
O.C]],"mmmm")</f>
        <v>En espera</v>
      </c>
      <c r="H462" s="112">
        <v>1575</v>
      </c>
      <c r="I462" s="112" t="s">
        <v>283</v>
      </c>
      <c r="J462" s="112"/>
      <c r="K462" s="58">
        <v>1</v>
      </c>
      <c r="L462" s="123">
        <v>200.68</v>
      </c>
      <c r="M462" s="112" t="s">
        <v>77</v>
      </c>
      <c r="N462" s="112">
        <v>7</v>
      </c>
      <c r="O462" s="212" t="str">
        <f>IF(VEND[[#This Row],[STATUS]]="O.C",(VEND[[#This Row],[Fecha Recibe
O.C]]+VEND[[#This Row],[Dias
entrega ]]),"")</f>
        <v/>
      </c>
      <c r="P462" s="212"/>
      <c r="Q462" s="58" t="str">
        <f>IFERROR(VEND[[#This Row],[Fecha de Despacho]]-VEND[[#This Row],[Fecha Estimada de Entrega a  Cliente]],"")</f>
        <v/>
      </c>
      <c r="R4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2" s="112" t="str">
        <f>IF(VEND[[#This Row],[STATUS]]="O.C","APROBADO",IF(VEND[[#This Row],[STATUS]]="PERDIDO","PERDIDO",IF(VEND[[#This Row],[STATUS]]="EN ESPERA","EN ESPERA")))</f>
        <v>EN ESPERA</v>
      </c>
      <c r="T462" s="112" t="str">
        <f>IF(VEND[[#This Row],[STATUS]]="O.C","APROBADO",IF(VEND[[#This Row],[STATUS]]="PERDIDO","PERDIDO",IF(VEND[[#This Row],[STATUS]]="EN ESPERA","EN ESPERA")))</f>
        <v>EN ESPERA</v>
      </c>
      <c r="U462" s="112" t="s">
        <v>23</v>
      </c>
      <c r="V462" s="112" t="s">
        <v>23</v>
      </c>
      <c r="W462" s="112" t="s">
        <v>1402</v>
      </c>
      <c r="X462" s="112"/>
    </row>
    <row r="463" spans="2:24" ht="15.75" x14ac:dyDescent="0.25">
      <c r="B463" s="46">
        <v>44330</v>
      </c>
      <c r="C463" s="188" t="str">
        <f>TEXT(VEND[[#This Row],[Fecha de Envío
Cotización]],"mmmm")</f>
        <v>mayo</v>
      </c>
      <c r="D463" s="66" t="s">
        <v>1163</v>
      </c>
      <c r="E463" s="125" t="s">
        <v>88</v>
      </c>
      <c r="F463" s="125" t="str">
        <f>IF(VEND[[#This Row],[STATUS]]="PERDIDO","N/A","En espera")</f>
        <v>En espera</v>
      </c>
      <c r="G463" s="127" t="str">
        <f>TEXT(VEND[[#This Row],[Fecha Recibe
O.C]],"mmmm")</f>
        <v>En espera</v>
      </c>
      <c r="H463" s="112">
        <v>4571</v>
      </c>
      <c r="I463" s="128" t="s">
        <v>1241</v>
      </c>
      <c r="J463" s="128"/>
      <c r="K463" s="129">
        <v>5</v>
      </c>
      <c r="L463" s="123">
        <v>1495.36</v>
      </c>
      <c r="M463" s="128"/>
      <c r="N463" s="112"/>
      <c r="O463" s="212" t="str">
        <f>IF(VEND[[#This Row],[STATUS]]="O.C",(VEND[[#This Row],[Fecha Recibe
O.C]]+VEND[[#This Row],[Dias
entrega ]]),"")</f>
        <v/>
      </c>
      <c r="P463" s="216"/>
      <c r="Q463" s="129" t="str">
        <f>IFERROR(VEND[[#This Row],[Fecha de Despacho]]-VEND[[#This Row],[Fecha Estimada de Entrega a  Cliente]],"")</f>
        <v/>
      </c>
      <c r="R4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3" s="128" t="str">
        <f>IF(VEND[[#This Row],[STATUS]]="O.C","APROBADO",IF(VEND[[#This Row],[STATUS]]="PERDIDO","PERDIDO",IF(VEND[[#This Row],[STATUS]]="EN ESPERA","EN ESPERA")))</f>
        <v>EN ESPERA</v>
      </c>
      <c r="T463" s="128" t="str">
        <f>IF(VEND[[#This Row],[STATUS]]="O.C","APROBADO",IF(VEND[[#This Row],[STATUS]]="PERDIDO","PERDIDO",IF(VEND[[#This Row],[STATUS]]="EN ESPERA","EN ESPERA")))</f>
        <v>EN ESPERA</v>
      </c>
      <c r="U463" s="112" t="s">
        <v>23</v>
      </c>
      <c r="V463" s="112" t="s">
        <v>23</v>
      </c>
      <c r="W463" s="112" t="s">
        <v>1409</v>
      </c>
      <c r="X463" s="128"/>
    </row>
    <row r="464" spans="2:24" ht="15.75" x14ac:dyDescent="0.25">
      <c r="B464" s="46">
        <v>44330</v>
      </c>
      <c r="C464" s="188" t="str">
        <f>TEXT(VEND[[#This Row],[Fecha de Envío
Cotización]],"mmmm")</f>
        <v>mayo</v>
      </c>
      <c r="D464" s="66" t="s">
        <v>1163</v>
      </c>
      <c r="E464" s="125" t="s">
        <v>88</v>
      </c>
      <c r="F464" s="125" t="str">
        <f>IF(VEND[[#This Row],[STATUS]]="PERDIDO","N/A","En espera")</f>
        <v>En espera</v>
      </c>
      <c r="G464" s="127" t="str">
        <f>TEXT(VEND[[#This Row],[Fecha Recibe
O.C]],"mmmm")</f>
        <v>En espera</v>
      </c>
      <c r="H464" s="112">
        <v>4572</v>
      </c>
      <c r="I464" s="128" t="s">
        <v>1241</v>
      </c>
      <c r="J464" s="128"/>
      <c r="K464" s="129">
        <v>1</v>
      </c>
      <c r="L464" s="123">
        <v>3089.68</v>
      </c>
      <c r="M464" s="128"/>
      <c r="N464" s="112"/>
      <c r="O464" s="212" t="str">
        <f>IF(VEND[[#This Row],[STATUS]]="O.C",(VEND[[#This Row],[Fecha Recibe
O.C]]+VEND[[#This Row],[Dias
entrega ]]),"")</f>
        <v/>
      </c>
      <c r="P464" s="216"/>
      <c r="Q464" s="129" t="str">
        <f>IFERROR(VEND[[#This Row],[Fecha de Despacho]]-VEND[[#This Row],[Fecha Estimada de Entrega a  Cliente]],"")</f>
        <v/>
      </c>
      <c r="R4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4" s="128" t="str">
        <f>IF(VEND[[#This Row],[STATUS]]="O.C","APROBADO",IF(VEND[[#This Row],[STATUS]]="PERDIDO","PERDIDO",IF(VEND[[#This Row],[STATUS]]="EN ESPERA","EN ESPERA")))</f>
        <v>EN ESPERA</v>
      </c>
      <c r="T464" s="128" t="str">
        <f>IF(VEND[[#This Row],[STATUS]]="O.C","APROBADO",IF(VEND[[#This Row],[STATUS]]="PERDIDO","PERDIDO",IF(VEND[[#This Row],[STATUS]]="EN ESPERA","EN ESPERA")))</f>
        <v>EN ESPERA</v>
      </c>
      <c r="U464" s="112" t="s">
        <v>23</v>
      </c>
      <c r="V464" s="112" t="s">
        <v>23</v>
      </c>
      <c r="W464" s="112" t="s">
        <v>1409</v>
      </c>
      <c r="X464" s="128"/>
    </row>
    <row r="465" spans="2:24" ht="15.75" x14ac:dyDescent="0.25">
      <c r="B465" s="46">
        <v>44330</v>
      </c>
      <c r="C465" s="188" t="str">
        <f>TEXT(VEND[[#This Row],[Fecha de Envío
Cotización]],"mmmm")</f>
        <v>mayo</v>
      </c>
      <c r="D465" s="66" t="s">
        <v>1163</v>
      </c>
      <c r="E465" s="125" t="s">
        <v>88</v>
      </c>
      <c r="F465" s="125" t="str">
        <f>IF(VEND[[#This Row],[STATUS]]="PERDIDO","N/A","En espera")</f>
        <v>En espera</v>
      </c>
      <c r="G465" s="127" t="str">
        <f>TEXT(VEND[[#This Row],[Fecha Recibe
O.C]],"mmmm")</f>
        <v>En espera</v>
      </c>
      <c r="H465" s="112">
        <v>4574</v>
      </c>
      <c r="I465" s="128" t="s">
        <v>1241</v>
      </c>
      <c r="J465" s="128"/>
      <c r="K465" s="129">
        <v>2</v>
      </c>
      <c r="L465" s="123">
        <v>2231.0300000000002</v>
      </c>
      <c r="M465" s="128"/>
      <c r="N465" s="112"/>
      <c r="O465" s="212" t="str">
        <f>IF(VEND[[#This Row],[STATUS]]="O.C",(VEND[[#This Row],[Fecha Recibe
O.C]]+VEND[[#This Row],[Dias
entrega ]]),"")</f>
        <v/>
      </c>
      <c r="P465" s="216"/>
      <c r="Q465" s="129" t="str">
        <f>IFERROR(VEND[[#This Row],[Fecha de Despacho]]-VEND[[#This Row],[Fecha Estimada de Entrega a  Cliente]],"")</f>
        <v/>
      </c>
      <c r="R4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5" s="128" t="str">
        <f>IF(VEND[[#This Row],[STATUS]]="O.C","APROBADO",IF(VEND[[#This Row],[STATUS]]="PERDIDO","PERDIDO",IF(VEND[[#This Row],[STATUS]]="EN ESPERA","EN ESPERA")))</f>
        <v>EN ESPERA</v>
      </c>
      <c r="T465" s="128" t="str">
        <f>IF(VEND[[#This Row],[STATUS]]="O.C","APROBADO",IF(VEND[[#This Row],[STATUS]]="PERDIDO","PERDIDO",IF(VEND[[#This Row],[STATUS]]="EN ESPERA","EN ESPERA")))</f>
        <v>EN ESPERA</v>
      </c>
      <c r="U465" s="112" t="s">
        <v>23</v>
      </c>
      <c r="V465" s="112" t="s">
        <v>23</v>
      </c>
      <c r="W465" s="112" t="s">
        <v>1409</v>
      </c>
      <c r="X465" s="128"/>
    </row>
    <row r="466" spans="2:24" ht="15.75" x14ac:dyDescent="0.25">
      <c r="B466" s="71">
        <v>44330</v>
      </c>
      <c r="C466" s="195" t="str">
        <f>TEXT(VEND[[#This Row],[Fecha de Envío
Cotización]],"mmmm")</f>
        <v>mayo</v>
      </c>
      <c r="D466" s="66" t="s">
        <v>68</v>
      </c>
      <c r="E466" s="190" t="s">
        <v>83</v>
      </c>
      <c r="F466" s="93">
        <v>44330</v>
      </c>
      <c r="G466" s="93" t="str">
        <f>TEXT(VEND[[#This Row],[Fecha Recibe
O.C]],"mmmm")</f>
        <v>mayo</v>
      </c>
      <c r="H466" s="112" t="s">
        <v>1834</v>
      </c>
      <c r="I466" s="112" t="s">
        <v>1835</v>
      </c>
      <c r="J466" s="112"/>
      <c r="K466" s="58">
        <v>1</v>
      </c>
      <c r="L466" s="123">
        <v>55</v>
      </c>
      <c r="M466" s="112" t="s">
        <v>119</v>
      </c>
      <c r="N466" s="112">
        <v>0</v>
      </c>
      <c r="O466" s="212">
        <f>IF(VEND[[#This Row],[STATUS]]="O.C",(VEND[[#This Row],[Fecha Recibe
O.C]]+VEND[[#This Row],[Dias
entrega ]]),"")</f>
        <v>44330</v>
      </c>
      <c r="P466" s="212">
        <v>44330</v>
      </c>
      <c r="Q466" s="58">
        <f>IFERROR(VEND[[#This Row],[Fecha de Despacho]]-VEND[[#This Row],[Fecha Estimada de Entrega a  Cliente]],"")</f>
        <v>0</v>
      </c>
      <c r="R4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6" s="112" t="str">
        <f>IF(VEND[[#This Row],[STATUS]]="O.C","APROBADO",IF(VEND[[#This Row],[STATUS]]="PERDIDO","PERDIDO",IF(VEND[[#This Row],[STATUS]]="EN ESPERA","EN ESPERA")))</f>
        <v>APROBADO</v>
      </c>
      <c r="T466" s="112" t="str">
        <f>IF(VEND[[#This Row],[STATUS]]="O.C","APROBADO",IF(VEND[[#This Row],[STATUS]]="PERDIDO","PERDIDO",IF(VEND[[#This Row],[STATUS]]="EN ESPERA","EN ESPERA")))</f>
        <v>APROBADO</v>
      </c>
      <c r="U466" s="112" t="s">
        <v>45</v>
      </c>
      <c r="V466" s="112" t="s">
        <v>47</v>
      </c>
      <c r="W466" s="112" t="s">
        <v>1402</v>
      </c>
      <c r="X466" s="112"/>
    </row>
    <row r="467" spans="2:24" ht="15.75" x14ac:dyDescent="0.25">
      <c r="B467" s="71">
        <v>44333</v>
      </c>
      <c r="C467" s="71" t="str">
        <f>TEXT(VEND[[#This Row],[Fecha de Envío
Cotización]],"mmmm")</f>
        <v>mayo</v>
      </c>
      <c r="D467" s="66" t="s">
        <v>50</v>
      </c>
      <c r="E467" s="125" t="s">
        <v>88</v>
      </c>
      <c r="F467" s="125" t="str">
        <f>IF(VEND[[#This Row],[STATUS]]="PERDIDO","N/A","En espera")</f>
        <v>En espera</v>
      </c>
      <c r="G467" s="125" t="str">
        <f>TEXT(VEND[[#This Row],[Fecha Recibe
O.C]],"mmmm")</f>
        <v>En espera</v>
      </c>
      <c r="H467" s="112">
        <v>487</v>
      </c>
      <c r="I467" s="112" t="s">
        <v>1066</v>
      </c>
      <c r="J467" s="112"/>
      <c r="K467" s="58">
        <v>16</v>
      </c>
      <c r="L467" s="123">
        <v>13014.1</v>
      </c>
      <c r="M467" s="112" t="s">
        <v>36</v>
      </c>
      <c r="N467" s="112">
        <v>28</v>
      </c>
      <c r="O467" s="212" t="str">
        <f>IF(VEND[[#This Row],[STATUS]]="O.C",(VEND[[#This Row],[Fecha Recibe
O.C]]+VEND[[#This Row],[Dias
entrega ]]),"")</f>
        <v/>
      </c>
      <c r="P467" s="212"/>
      <c r="Q467" s="58" t="str">
        <f>IFERROR(VEND[[#This Row],[Fecha de Despacho]]-VEND[[#This Row],[Fecha Estimada de Entrega a  Cliente]],"")</f>
        <v/>
      </c>
      <c r="R4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7" s="112" t="str">
        <f>IF(VEND[[#This Row],[STATUS]]="O.C","APROBADO",IF(VEND[[#This Row],[STATUS]]="PERDIDO","PERDIDO",IF(VEND[[#This Row],[STATUS]]="EN ESPERA","EN ESPERA")))</f>
        <v>EN ESPERA</v>
      </c>
      <c r="T467" s="112" t="str">
        <f>IF(VEND[[#This Row],[STATUS]]="O.C","APROBADO",IF(VEND[[#This Row],[STATUS]]="PERDIDO","PERDIDO",IF(VEND[[#This Row],[STATUS]]="EN ESPERA","EN ESPERA")))</f>
        <v>EN ESPERA</v>
      </c>
      <c r="U467" s="112" t="s">
        <v>23</v>
      </c>
      <c r="V467" s="112" t="s">
        <v>23</v>
      </c>
      <c r="W467" s="112" t="s">
        <v>1401</v>
      </c>
      <c r="X467" s="112"/>
    </row>
    <row r="468" spans="2:24" ht="15.75" x14ac:dyDescent="0.25">
      <c r="B468" s="71">
        <v>44333</v>
      </c>
      <c r="C468" s="71" t="str">
        <f>TEXT(VEND[[#This Row],[Fecha de Envío
Cotización]],"mmmm")</f>
        <v>mayo</v>
      </c>
      <c r="D468" s="66" t="s">
        <v>50</v>
      </c>
      <c r="E468" s="125" t="s">
        <v>88</v>
      </c>
      <c r="F468" s="125" t="str">
        <f>IF(VEND[[#This Row],[STATUS]]="PERDIDO","N/A","En espera")</f>
        <v>En espera</v>
      </c>
      <c r="G468" s="125" t="str">
        <f>TEXT(VEND[[#This Row],[Fecha Recibe
O.C]],"mmmm")</f>
        <v>En espera</v>
      </c>
      <c r="H468" s="112">
        <v>1576</v>
      </c>
      <c r="I468" s="112" t="s">
        <v>1501</v>
      </c>
      <c r="J468" s="112"/>
      <c r="K468" s="58">
        <v>2</v>
      </c>
      <c r="L468" s="123">
        <v>7255.87</v>
      </c>
      <c r="M468" s="112" t="s">
        <v>15</v>
      </c>
      <c r="N468" s="112">
        <v>14</v>
      </c>
      <c r="O468" s="212" t="str">
        <f>IF(VEND[[#This Row],[STATUS]]="O.C",(VEND[[#This Row],[Fecha Recibe
O.C]]+VEND[[#This Row],[Dias
entrega ]]),"")</f>
        <v/>
      </c>
      <c r="P468" s="212"/>
      <c r="Q468" s="58" t="str">
        <f>IFERROR(VEND[[#This Row],[Fecha de Despacho]]-VEND[[#This Row],[Fecha Estimada de Entrega a  Cliente]],"")</f>
        <v/>
      </c>
      <c r="R4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8" s="112" t="str">
        <f>IF(VEND[[#This Row],[STATUS]]="O.C","APROBADO",IF(VEND[[#This Row],[STATUS]]="PERDIDO","PERDIDO",IF(VEND[[#This Row],[STATUS]]="EN ESPERA","EN ESPERA")))</f>
        <v>EN ESPERA</v>
      </c>
      <c r="T468" s="112" t="str">
        <f>IF(VEND[[#This Row],[STATUS]]="O.C","APROBADO",IF(VEND[[#This Row],[STATUS]]="PERDIDO","PERDIDO",IF(VEND[[#This Row],[STATUS]]="EN ESPERA","EN ESPERA")))</f>
        <v>EN ESPERA</v>
      </c>
      <c r="U468" s="112" t="s">
        <v>23</v>
      </c>
      <c r="V468" s="112" t="s">
        <v>23</v>
      </c>
      <c r="W468" s="112" t="s">
        <v>1402</v>
      </c>
      <c r="X468" s="112"/>
    </row>
    <row r="469" spans="2:24" ht="15.75" x14ac:dyDescent="0.25">
      <c r="B469" s="71">
        <v>44333</v>
      </c>
      <c r="C469" s="71" t="str">
        <f>TEXT(VEND[[#This Row],[Fecha de Envío
Cotización]],"mmmm")</f>
        <v>mayo</v>
      </c>
      <c r="D469" s="66" t="s">
        <v>50</v>
      </c>
      <c r="E469" s="125" t="s">
        <v>88</v>
      </c>
      <c r="F469" s="125" t="str">
        <f>IF(VEND[[#This Row],[STATUS]]="PERDIDO","N/A","En espera")</f>
        <v>En espera</v>
      </c>
      <c r="G469" s="125" t="str">
        <f>TEXT(VEND[[#This Row],[Fecha Recibe
O.C]],"mmmm")</f>
        <v>En espera</v>
      </c>
      <c r="H469" s="112">
        <v>1577</v>
      </c>
      <c r="I469" s="112" t="s">
        <v>33</v>
      </c>
      <c r="J469" s="112"/>
      <c r="K469" s="145">
        <v>1</v>
      </c>
      <c r="L469" s="123">
        <v>5566.91</v>
      </c>
      <c r="M469" s="112" t="s">
        <v>134</v>
      </c>
      <c r="N469" s="112">
        <v>28</v>
      </c>
      <c r="O469" s="212" t="str">
        <f>IF(VEND[[#This Row],[STATUS]]="O.C",(VEND[[#This Row],[Fecha Recibe
O.C]]+VEND[[#This Row],[Dias
entrega ]]),"")</f>
        <v/>
      </c>
      <c r="P469" s="212"/>
      <c r="Q469" s="58" t="str">
        <f>IFERROR(VEND[[#This Row],[Fecha de Despacho]]-VEND[[#This Row],[Fecha Estimada de Entrega a  Cliente]],"")</f>
        <v/>
      </c>
      <c r="R4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69" s="112" t="str">
        <f>IF(VEND[[#This Row],[STATUS]]="O.C","APROBADO",IF(VEND[[#This Row],[STATUS]]="PERDIDO","PERDIDO",IF(VEND[[#This Row],[STATUS]]="EN ESPERA","EN ESPERA")))</f>
        <v>EN ESPERA</v>
      </c>
      <c r="T469" s="112" t="str">
        <f>IF(VEND[[#This Row],[STATUS]]="O.C","APROBADO",IF(VEND[[#This Row],[STATUS]]="PERDIDO","PERDIDO",IF(VEND[[#This Row],[STATUS]]="EN ESPERA","EN ESPERA")))</f>
        <v>EN ESPERA</v>
      </c>
      <c r="U469" s="112" t="s">
        <v>23</v>
      </c>
      <c r="V469" s="112" t="s">
        <v>23</v>
      </c>
      <c r="W469" s="112" t="s">
        <v>1402</v>
      </c>
      <c r="X469" s="112"/>
    </row>
    <row r="470" spans="2:24" s="105" customFormat="1" ht="15.75" x14ac:dyDescent="0.25">
      <c r="B470" s="71">
        <v>44333</v>
      </c>
      <c r="C470" s="71" t="str">
        <f>TEXT(VEND[[#This Row],[Fecha de Envío
Cotización]],"mmmm")</f>
        <v>mayo</v>
      </c>
      <c r="D470" s="66" t="s">
        <v>50</v>
      </c>
      <c r="E470" s="125" t="s">
        <v>88</v>
      </c>
      <c r="F470" s="125" t="str">
        <f>IF(VEND[[#This Row],[STATUS]]="PERDIDO","N/A","En espera")</f>
        <v>En espera</v>
      </c>
      <c r="G470" s="125" t="str">
        <f>TEXT(VEND[[#This Row],[Fecha Recibe
O.C]],"mmmm")</f>
        <v>En espera</v>
      </c>
      <c r="H470" s="112">
        <v>1578</v>
      </c>
      <c r="I470" s="112" t="s">
        <v>283</v>
      </c>
      <c r="J470" s="112"/>
      <c r="K470" s="58">
        <v>3</v>
      </c>
      <c r="L470" s="123">
        <v>4437.8500000000004</v>
      </c>
      <c r="M470" s="112" t="s">
        <v>134</v>
      </c>
      <c r="N470" s="112">
        <v>28</v>
      </c>
      <c r="O470" s="212" t="str">
        <f>IF(VEND[[#This Row],[STATUS]]="O.C",(VEND[[#This Row],[Fecha Recibe
O.C]]+VEND[[#This Row],[Dias
entrega ]]),"")</f>
        <v/>
      </c>
      <c r="P470" s="212"/>
      <c r="Q470" s="58" t="str">
        <f>IFERROR(VEND[[#This Row],[Fecha de Despacho]]-VEND[[#This Row],[Fecha Estimada de Entrega a  Cliente]],"")</f>
        <v/>
      </c>
      <c r="R4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0" s="112" t="str">
        <f>IF(VEND[[#This Row],[STATUS]]="O.C","APROBADO",IF(VEND[[#This Row],[STATUS]]="PERDIDO","PERDIDO",IF(VEND[[#This Row],[STATUS]]="EN ESPERA","EN ESPERA")))</f>
        <v>EN ESPERA</v>
      </c>
      <c r="T470" s="112" t="str">
        <f>IF(VEND[[#This Row],[STATUS]]="O.C","APROBADO",IF(VEND[[#This Row],[STATUS]]="PERDIDO","PERDIDO",IF(VEND[[#This Row],[STATUS]]="EN ESPERA","EN ESPERA")))</f>
        <v>EN ESPERA</v>
      </c>
      <c r="U470" s="112" t="s">
        <v>23</v>
      </c>
      <c r="V470" s="112" t="s">
        <v>23</v>
      </c>
      <c r="W470" s="112" t="s">
        <v>1658</v>
      </c>
      <c r="X470" s="112"/>
    </row>
    <row r="471" spans="2:24" s="105" customFormat="1" ht="15.75" x14ac:dyDescent="0.25">
      <c r="B471" s="71">
        <v>44333</v>
      </c>
      <c r="C471" s="71" t="str">
        <f>TEXT(VEND[[#This Row],[Fecha de Envío
Cotización]],"mmmm")</f>
        <v>mayo</v>
      </c>
      <c r="D471" s="66" t="s">
        <v>50</v>
      </c>
      <c r="E471" s="125" t="s">
        <v>88</v>
      </c>
      <c r="F471" s="125" t="str">
        <f>IF(VEND[[#This Row],[STATUS]]="PERDIDO","N/A","En espera")</f>
        <v>En espera</v>
      </c>
      <c r="G471" s="125" t="str">
        <f>TEXT(VEND[[#This Row],[Fecha Recibe
O.C]],"mmmm")</f>
        <v>En espera</v>
      </c>
      <c r="H471" s="112">
        <v>1579</v>
      </c>
      <c r="I471" s="112" t="s">
        <v>33</v>
      </c>
      <c r="J471" s="112"/>
      <c r="K471" s="145">
        <v>4</v>
      </c>
      <c r="L471" s="123">
        <v>2366.89</v>
      </c>
      <c r="M471" s="112" t="s">
        <v>134</v>
      </c>
      <c r="N471" s="112">
        <v>28</v>
      </c>
      <c r="O471" s="212" t="str">
        <f>IF(VEND[[#This Row],[STATUS]]="O.C",(VEND[[#This Row],[Fecha Recibe
O.C]]+VEND[[#This Row],[Dias
entrega ]]),"")</f>
        <v/>
      </c>
      <c r="P471" s="212"/>
      <c r="Q471" s="58" t="str">
        <f>IFERROR(VEND[[#This Row],[Fecha de Despacho]]-VEND[[#This Row],[Fecha Estimada de Entrega a  Cliente]],"")</f>
        <v/>
      </c>
      <c r="R4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1" s="112" t="str">
        <f>IF(VEND[[#This Row],[STATUS]]="O.C","APROBADO",IF(VEND[[#This Row],[STATUS]]="PERDIDO","PERDIDO",IF(VEND[[#This Row],[STATUS]]="EN ESPERA","EN ESPERA")))</f>
        <v>EN ESPERA</v>
      </c>
      <c r="T471" s="112" t="str">
        <f>IF(VEND[[#This Row],[STATUS]]="O.C","APROBADO",IF(VEND[[#This Row],[STATUS]]="PERDIDO","PERDIDO",IF(VEND[[#This Row],[STATUS]]="EN ESPERA","EN ESPERA")))</f>
        <v>EN ESPERA</v>
      </c>
      <c r="U471" s="112" t="s">
        <v>23</v>
      </c>
      <c r="V471" s="112" t="s">
        <v>23</v>
      </c>
      <c r="W471" s="112" t="s">
        <v>1402</v>
      </c>
      <c r="X471" s="112"/>
    </row>
    <row r="472" spans="2:24" s="105" customFormat="1" ht="15.75" x14ac:dyDescent="0.25">
      <c r="B472" s="71">
        <v>44333</v>
      </c>
      <c r="C472" s="71" t="str">
        <f>TEXT(VEND[[#This Row],[Fecha de Envío
Cotización]],"mmmm")</f>
        <v>mayo</v>
      </c>
      <c r="D472" s="66" t="s">
        <v>50</v>
      </c>
      <c r="E472" s="125" t="s">
        <v>88</v>
      </c>
      <c r="F472" s="125" t="str">
        <f>IF(VEND[[#This Row],[STATUS]]="PERDIDO","N/A","En espera")</f>
        <v>En espera</v>
      </c>
      <c r="G472" s="125" t="str">
        <f>TEXT(VEND[[#This Row],[Fecha Recibe
O.C]],"mmmm")</f>
        <v>En espera</v>
      </c>
      <c r="H472" s="112">
        <v>1580</v>
      </c>
      <c r="I472" s="112" t="s">
        <v>283</v>
      </c>
      <c r="J472" s="112"/>
      <c r="K472" s="58">
        <v>2</v>
      </c>
      <c r="L472" s="123">
        <v>1841.14</v>
      </c>
      <c r="M472" s="112" t="s">
        <v>51</v>
      </c>
      <c r="N472" s="112">
        <v>21</v>
      </c>
      <c r="O472" s="212" t="str">
        <f>IF(VEND[[#This Row],[STATUS]]="O.C",(VEND[[#This Row],[Fecha Recibe
O.C]]+VEND[[#This Row],[Dias
entrega ]]),"")</f>
        <v/>
      </c>
      <c r="P472" s="212"/>
      <c r="Q472" s="58" t="str">
        <f>IFERROR(VEND[[#This Row],[Fecha de Despacho]]-VEND[[#This Row],[Fecha Estimada de Entrega a  Cliente]],"")</f>
        <v/>
      </c>
      <c r="R4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2" s="112" t="str">
        <f>IF(VEND[[#This Row],[STATUS]]="O.C","APROBADO",IF(VEND[[#This Row],[STATUS]]="PERDIDO","PERDIDO",IF(VEND[[#This Row],[STATUS]]="EN ESPERA","EN ESPERA")))</f>
        <v>EN ESPERA</v>
      </c>
      <c r="T472" s="112" t="str">
        <f>IF(VEND[[#This Row],[STATUS]]="O.C","APROBADO",IF(VEND[[#This Row],[STATUS]]="PERDIDO","PERDIDO",IF(VEND[[#This Row],[STATUS]]="EN ESPERA","EN ESPERA")))</f>
        <v>EN ESPERA</v>
      </c>
      <c r="U472" s="112" t="s">
        <v>23</v>
      </c>
      <c r="V472" s="112" t="s">
        <v>23</v>
      </c>
      <c r="W472" s="112" t="s">
        <v>1404</v>
      </c>
      <c r="X472" s="112"/>
    </row>
    <row r="473" spans="2:24" s="105" customFormat="1" ht="15.75" x14ac:dyDescent="0.25">
      <c r="B473" s="71">
        <v>44333</v>
      </c>
      <c r="C473" s="71" t="str">
        <f>TEXT(VEND[[#This Row],[Fecha de Envío
Cotización]],"mmmm")</f>
        <v>mayo</v>
      </c>
      <c r="D473" s="66" t="s">
        <v>50</v>
      </c>
      <c r="E473" s="125" t="s">
        <v>42</v>
      </c>
      <c r="F473" s="125" t="str">
        <f>IF(VEND[[#This Row],[STATUS]]="PERDIDO","N/A","En espera")</f>
        <v>N/A</v>
      </c>
      <c r="G473" s="125" t="str">
        <f>TEXT(VEND[[#This Row],[Fecha Recibe
O.C]],"mmmm")</f>
        <v>N/A</v>
      </c>
      <c r="H473" s="112">
        <v>1581</v>
      </c>
      <c r="I473" s="112" t="s">
        <v>283</v>
      </c>
      <c r="J473" s="112"/>
      <c r="K473" s="58">
        <v>1</v>
      </c>
      <c r="L473" s="123">
        <v>6363.49</v>
      </c>
      <c r="M473" s="112"/>
      <c r="N473" s="112">
        <v>0</v>
      </c>
      <c r="O473" s="212" t="str">
        <f>IF(VEND[[#This Row],[STATUS]]="O.C",(VEND[[#This Row],[Fecha Recibe
O.C]]+VEND[[#This Row],[Dias
entrega ]]),"")</f>
        <v/>
      </c>
      <c r="P473" s="212"/>
      <c r="Q473" s="58" t="str">
        <f>IFERROR(VEND[[#This Row],[Fecha de Despacho]]-VEND[[#This Row],[Fecha Estimada de Entrega a  Cliente]],"")</f>
        <v/>
      </c>
      <c r="R4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3" s="112" t="str">
        <f>IF(VEND[[#This Row],[STATUS]]="O.C","APROBADO",IF(VEND[[#This Row],[STATUS]]="PERDIDO","PERDIDO",IF(VEND[[#This Row],[STATUS]]="EN ESPERA","EN ESPERA")))</f>
        <v>PERDIDO</v>
      </c>
      <c r="T473" s="112" t="str">
        <f>IF(VEND[[#This Row],[STATUS]]="O.C","APROBADO",IF(VEND[[#This Row],[STATUS]]="PERDIDO","PERDIDO",IF(VEND[[#This Row],[STATUS]]="EN ESPERA","EN ESPERA")))</f>
        <v>PERDIDO</v>
      </c>
      <c r="U473" s="112"/>
      <c r="V473" s="112"/>
      <c r="W473" s="112" t="s">
        <v>1402</v>
      </c>
      <c r="X473" s="112"/>
    </row>
    <row r="474" spans="2:24" s="105" customFormat="1" ht="15.75" x14ac:dyDescent="0.25">
      <c r="B474" s="71">
        <v>44333</v>
      </c>
      <c r="C474" s="71" t="str">
        <f>TEXT(VEND[[#This Row],[Fecha de Envío
Cotización]],"mmmm")</f>
        <v>mayo</v>
      </c>
      <c r="D474" s="66" t="s">
        <v>50</v>
      </c>
      <c r="E474" s="125" t="s">
        <v>88</v>
      </c>
      <c r="F474" s="125" t="str">
        <f>IF(VEND[[#This Row],[STATUS]]="PERDIDO","N/A","En espera")</f>
        <v>En espera</v>
      </c>
      <c r="G474" s="125" t="str">
        <f>TEXT(VEND[[#This Row],[Fecha Recibe
O.C]],"mmmm")</f>
        <v>En espera</v>
      </c>
      <c r="H474" s="112">
        <v>1582</v>
      </c>
      <c r="I474" s="112" t="s">
        <v>33</v>
      </c>
      <c r="J474" s="112"/>
      <c r="K474" s="145">
        <v>1</v>
      </c>
      <c r="L474" s="123">
        <v>1697.33</v>
      </c>
      <c r="M474" s="112" t="s">
        <v>51</v>
      </c>
      <c r="N474" s="112">
        <v>21</v>
      </c>
      <c r="O474" s="212" t="str">
        <f>IF(VEND[[#This Row],[STATUS]]="O.C",(VEND[[#This Row],[Fecha Recibe
O.C]]+VEND[[#This Row],[Dias
entrega ]]),"")</f>
        <v/>
      </c>
      <c r="P474" s="212"/>
      <c r="Q474" s="58" t="str">
        <f>IFERROR(VEND[[#This Row],[Fecha de Despacho]]-VEND[[#This Row],[Fecha Estimada de Entrega a  Cliente]],"")</f>
        <v/>
      </c>
      <c r="R4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4" s="112" t="str">
        <f>IF(VEND[[#This Row],[STATUS]]="O.C","APROBADO",IF(VEND[[#This Row],[STATUS]]="PERDIDO","PERDIDO",IF(VEND[[#This Row],[STATUS]]="EN ESPERA","EN ESPERA")))</f>
        <v>EN ESPERA</v>
      </c>
      <c r="T474" s="112" t="str">
        <f>IF(VEND[[#This Row],[STATUS]]="O.C","APROBADO",IF(VEND[[#This Row],[STATUS]]="PERDIDO","PERDIDO",IF(VEND[[#This Row],[STATUS]]="EN ESPERA","EN ESPERA")))</f>
        <v>EN ESPERA</v>
      </c>
      <c r="U474" s="112" t="s">
        <v>23</v>
      </c>
      <c r="V474" s="112" t="s">
        <v>23</v>
      </c>
      <c r="W474" s="112" t="s">
        <v>1402</v>
      </c>
      <c r="X474" s="112"/>
    </row>
    <row r="475" spans="2:24" s="105" customFormat="1" ht="15.75" x14ac:dyDescent="0.25">
      <c r="B475" s="71">
        <v>44333</v>
      </c>
      <c r="C475" s="71" t="str">
        <f>TEXT(VEND[[#This Row],[Fecha de Envío
Cotización]],"mmmm")</f>
        <v>mayo</v>
      </c>
      <c r="D475" s="66" t="s">
        <v>50</v>
      </c>
      <c r="E475" s="125" t="s">
        <v>88</v>
      </c>
      <c r="F475" s="125" t="str">
        <f>IF(VEND[[#This Row],[STATUS]]="PERDIDO","N/A","En espera")</f>
        <v>En espera</v>
      </c>
      <c r="G475" s="125" t="str">
        <f>TEXT(VEND[[#This Row],[Fecha Recibe
O.C]],"mmmm")</f>
        <v>En espera</v>
      </c>
      <c r="H475" s="112">
        <v>1583</v>
      </c>
      <c r="I475" s="112" t="s">
        <v>33</v>
      </c>
      <c r="J475" s="112"/>
      <c r="K475" s="145">
        <v>2</v>
      </c>
      <c r="L475" s="123">
        <v>801.72</v>
      </c>
      <c r="M475" s="112" t="s">
        <v>51</v>
      </c>
      <c r="N475" s="112">
        <v>21</v>
      </c>
      <c r="O475" s="212" t="str">
        <f>IF(VEND[[#This Row],[STATUS]]="O.C",(VEND[[#This Row],[Fecha Recibe
O.C]]+VEND[[#This Row],[Dias
entrega ]]),"")</f>
        <v/>
      </c>
      <c r="P475" s="212"/>
      <c r="Q475" s="58" t="str">
        <f>IFERROR(VEND[[#This Row],[Fecha de Despacho]]-VEND[[#This Row],[Fecha Estimada de Entrega a  Cliente]],"")</f>
        <v/>
      </c>
      <c r="R4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5" s="112" t="str">
        <f>IF(VEND[[#This Row],[STATUS]]="O.C","APROBADO",IF(VEND[[#This Row],[STATUS]]="PERDIDO","PERDIDO",IF(VEND[[#This Row],[STATUS]]="EN ESPERA","EN ESPERA")))</f>
        <v>EN ESPERA</v>
      </c>
      <c r="T475" s="112" t="str">
        <f>IF(VEND[[#This Row],[STATUS]]="O.C","APROBADO",IF(VEND[[#This Row],[STATUS]]="PERDIDO","PERDIDO",IF(VEND[[#This Row],[STATUS]]="EN ESPERA","EN ESPERA")))</f>
        <v>EN ESPERA</v>
      </c>
      <c r="U475" s="112" t="s">
        <v>23</v>
      </c>
      <c r="V475" s="112" t="s">
        <v>23</v>
      </c>
      <c r="W475" s="112" t="s">
        <v>1402</v>
      </c>
      <c r="X475" s="112"/>
    </row>
    <row r="476" spans="2:24" s="105" customFormat="1" ht="15.75" x14ac:dyDescent="0.25">
      <c r="B476" s="71">
        <v>44333</v>
      </c>
      <c r="C476" s="71" t="str">
        <f>TEXT(VEND[[#This Row],[Fecha de Envío
Cotización]],"mmmm")</f>
        <v>mayo</v>
      </c>
      <c r="D476" s="66" t="s">
        <v>41</v>
      </c>
      <c r="E476" s="125" t="s">
        <v>83</v>
      </c>
      <c r="F476" s="93">
        <v>44336</v>
      </c>
      <c r="G476" s="93" t="str">
        <f>TEXT(VEND[[#This Row],[Fecha Recibe
O.C]],"mmmm")</f>
        <v>mayo</v>
      </c>
      <c r="H476" s="112">
        <v>3521</v>
      </c>
      <c r="I476" s="112" t="s">
        <v>76</v>
      </c>
      <c r="J476" s="112"/>
      <c r="K476" s="58">
        <v>1</v>
      </c>
      <c r="L476" s="123">
        <v>338.45</v>
      </c>
      <c r="M476" s="112" t="s">
        <v>15</v>
      </c>
      <c r="N476" s="112">
        <v>14</v>
      </c>
      <c r="O476" s="212">
        <f>IF(VEND[[#This Row],[STATUS]]="O.C",(VEND[[#This Row],[Fecha Recibe
O.C]]+VEND[[#This Row],[Dias
entrega ]]),"")</f>
        <v>44350</v>
      </c>
      <c r="P476" s="212"/>
      <c r="Q476" s="58">
        <f>IFERROR(VEND[[#This Row],[Fecha de Despacho]]-VEND[[#This Row],[Fecha Estimada de Entrega a  Cliente]],"")</f>
        <v>-44350</v>
      </c>
      <c r="R4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6" s="112" t="str">
        <f>IF(VEND[[#This Row],[STATUS]]="O.C","APROBADO",IF(VEND[[#This Row],[STATUS]]="PERDIDO","PERDIDO",IF(VEND[[#This Row],[STATUS]]="EN ESPERA","EN ESPERA")))</f>
        <v>APROBADO</v>
      </c>
      <c r="T476" s="112" t="str">
        <f>IF(VEND[[#This Row],[STATUS]]="O.C","APROBADO",IF(VEND[[#This Row],[STATUS]]="PERDIDO","PERDIDO",IF(VEND[[#This Row],[STATUS]]="EN ESPERA","EN ESPERA")))</f>
        <v>APROBADO</v>
      </c>
      <c r="U476" s="112" t="s">
        <v>46</v>
      </c>
      <c r="V476" s="112" t="s">
        <v>46</v>
      </c>
      <c r="W476" s="112" t="s">
        <v>1402</v>
      </c>
      <c r="X476" s="112" t="s">
        <v>2000</v>
      </c>
    </row>
    <row r="477" spans="2:24" s="105" customFormat="1" ht="15.75" x14ac:dyDescent="0.25">
      <c r="B477" s="46">
        <v>44333</v>
      </c>
      <c r="C477" s="188" t="str">
        <f>TEXT(VEND[[#This Row],[Fecha de Envío
Cotización]],"mmmm")</f>
        <v>mayo</v>
      </c>
      <c r="D477" s="66" t="s">
        <v>1163</v>
      </c>
      <c r="E477" s="125" t="s">
        <v>88</v>
      </c>
      <c r="F477" s="125" t="str">
        <f>IF(VEND[[#This Row],[STATUS]]="PERDIDO","N/A","En espera")</f>
        <v>En espera</v>
      </c>
      <c r="G477" s="127" t="str">
        <f>TEXT(VEND[[#This Row],[Fecha Recibe
O.C]],"mmmm")</f>
        <v>En espera</v>
      </c>
      <c r="H477" s="112">
        <v>4576</v>
      </c>
      <c r="I477" s="128" t="s">
        <v>1241</v>
      </c>
      <c r="J477" s="128"/>
      <c r="K477" s="129">
        <v>4</v>
      </c>
      <c r="L477" s="123">
        <v>958.98</v>
      </c>
      <c r="M477" s="128"/>
      <c r="N477" s="112"/>
      <c r="O477" s="212" t="str">
        <f>IF(VEND[[#This Row],[STATUS]]="O.C",(VEND[[#This Row],[Fecha Recibe
O.C]]+VEND[[#This Row],[Dias
entrega ]]),"")</f>
        <v/>
      </c>
      <c r="P477" s="216"/>
      <c r="Q477" s="129" t="str">
        <f>IFERROR(VEND[[#This Row],[Fecha de Despacho]]-VEND[[#This Row],[Fecha Estimada de Entrega a  Cliente]],"")</f>
        <v/>
      </c>
      <c r="R4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7" s="128" t="str">
        <f>IF(VEND[[#This Row],[STATUS]]="O.C","APROBADO",IF(VEND[[#This Row],[STATUS]]="PERDIDO","PERDIDO",IF(VEND[[#This Row],[STATUS]]="EN ESPERA","EN ESPERA")))</f>
        <v>EN ESPERA</v>
      </c>
      <c r="T477" s="128" t="str">
        <f>IF(VEND[[#This Row],[STATUS]]="O.C","APROBADO",IF(VEND[[#This Row],[STATUS]]="PERDIDO","PERDIDO",IF(VEND[[#This Row],[STATUS]]="EN ESPERA","EN ESPERA")))</f>
        <v>EN ESPERA</v>
      </c>
      <c r="U477" s="112" t="s">
        <v>23</v>
      </c>
      <c r="V477" s="112" t="s">
        <v>23</v>
      </c>
      <c r="W477" s="112" t="s">
        <v>1409</v>
      </c>
      <c r="X477" s="128"/>
    </row>
    <row r="478" spans="2:24" s="105" customFormat="1" ht="15.75" x14ac:dyDescent="0.25">
      <c r="B478" s="46">
        <v>44333</v>
      </c>
      <c r="C478" s="188" t="str">
        <f>TEXT(VEND[[#This Row],[Fecha de Envío
Cotización]],"mmmm")</f>
        <v>mayo</v>
      </c>
      <c r="D478" s="66" t="s">
        <v>1163</v>
      </c>
      <c r="E478" s="125" t="s">
        <v>88</v>
      </c>
      <c r="F478" s="125" t="str">
        <f>IF(VEND[[#This Row],[STATUS]]="PERDIDO","N/A","En espera")</f>
        <v>En espera</v>
      </c>
      <c r="G478" s="127" t="str">
        <f>TEXT(VEND[[#This Row],[Fecha Recibe
O.C]],"mmmm")</f>
        <v>En espera</v>
      </c>
      <c r="H478" s="112">
        <v>4577</v>
      </c>
      <c r="I478" s="128" t="s">
        <v>1241</v>
      </c>
      <c r="J478" s="128"/>
      <c r="K478" s="129">
        <v>1</v>
      </c>
      <c r="L478" s="123">
        <v>4933.99</v>
      </c>
      <c r="M478" s="128"/>
      <c r="N478" s="112"/>
      <c r="O478" s="212" t="str">
        <f>IF(VEND[[#This Row],[STATUS]]="O.C",(VEND[[#This Row],[Fecha Recibe
O.C]]+VEND[[#This Row],[Dias
entrega ]]),"")</f>
        <v/>
      </c>
      <c r="P478" s="216"/>
      <c r="Q478" s="129" t="str">
        <f>IFERROR(VEND[[#This Row],[Fecha de Despacho]]-VEND[[#This Row],[Fecha Estimada de Entrega a  Cliente]],"")</f>
        <v/>
      </c>
      <c r="R4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8" s="128" t="str">
        <f>IF(VEND[[#This Row],[STATUS]]="O.C","APROBADO",IF(VEND[[#This Row],[STATUS]]="PERDIDO","PERDIDO",IF(VEND[[#This Row],[STATUS]]="EN ESPERA","EN ESPERA")))</f>
        <v>EN ESPERA</v>
      </c>
      <c r="T478" s="128" t="str">
        <f>IF(VEND[[#This Row],[STATUS]]="O.C","APROBADO",IF(VEND[[#This Row],[STATUS]]="PERDIDO","PERDIDO",IF(VEND[[#This Row],[STATUS]]="EN ESPERA","EN ESPERA")))</f>
        <v>EN ESPERA</v>
      </c>
      <c r="U478" s="112" t="s">
        <v>23</v>
      </c>
      <c r="V478" s="112" t="s">
        <v>23</v>
      </c>
      <c r="W478" s="112" t="s">
        <v>1409</v>
      </c>
      <c r="X478" s="128"/>
    </row>
    <row r="479" spans="2:24" s="105" customFormat="1" ht="15.75" x14ac:dyDescent="0.25">
      <c r="B479" s="71">
        <v>44333</v>
      </c>
      <c r="C479" s="71" t="str">
        <f>TEXT(VEND[[#This Row],[Fecha de Envío
Cotización]],"mmmm")</f>
        <v>mayo</v>
      </c>
      <c r="D479" s="66" t="s">
        <v>945</v>
      </c>
      <c r="E479" s="125" t="s">
        <v>88</v>
      </c>
      <c r="F479" s="125" t="str">
        <f>IF(VEND[[#This Row],[STATUS]]="PERDIDO","N/A","En espera")</f>
        <v>En espera</v>
      </c>
      <c r="G479" s="93" t="str">
        <f>TEXT(VEND[[#This Row],[Fecha Recibe
O.C]],"mmmm")</f>
        <v>En espera</v>
      </c>
      <c r="H479" s="112">
        <v>6033</v>
      </c>
      <c r="I479" s="112" t="s">
        <v>424</v>
      </c>
      <c r="J479" s="112"/>
      <c r="K479" s="58">
        <v>1</v>
      </c>
      <c r="L479" s="123">
        <v>2110.19</v>
      </c>
      <c r="M479" s="112" t="s">
        <v>16</v>
      </c>
      <c r="N479" s="112">
        <v>21</v>
      </c>
      <c r="O479" s="212" t="str">
        <f>IF(VEND[[#This Row],[STATUS]]="O.C",(VEND[[#This Row],[Fecha Recibe
O.C]]+VEND[[#This Row],[Dias
entrega ]]),"")</f>
        <v/>
      </c>
      <c r="P479" s="212"/>
      <c r="Q479" s="58" t="str">
        <f>IFERROR(VEND[[#This Row],[Fecha de Despacho]]-VEND[[#This Row],[Fecha Estimada de Entrega a  Cliente]],"")</f>
        <v/>
      </c>
      <c r="R4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79" s="112" t="str">
        <f>IF(VEND[[#This Row],[STATUS]]="O.C","APROBADO",IF(VEND[[#This Row],[STATUS]]="PERDIDO","PERDIDO",IF(VEND[[#This Row],[STATUS]]="EN ESPERA","EN ESPERA")))</f>
        <v>EN ESPERA</v>
      </c>
      <c r="T479" s="112" t="str">
        <f>IF(VEND[[#This Row],[STATUS]]="O.C","APROBADO",IF(VEND[[#This Row],[STATUS]]="PERDIDO","PERDIDO",IF(VEND[[#This Row],[STATUS]]="EN ESPERA","EN ESPERA")))</f>
        <v>EN ESPERA</v>
      </c>
      <c r="U479" s="112" t="s">
        <v>23</v>
      </c>
      <c r="V479" s="112" t="s">
        <v>23</v>
      </c>
      <c r="W479" s="112" t="s">
        <v>1402</v>
      </c>
      <c r="X479" s="112"/>
    </row>
    <row r="480" spans="2:24" s="105" customFormat="1" ht="15.75" x14ac:dyDescent="0.25">
      <c r="B480" s="71">
        <v>44333</v>
      </c>
      <c r="C480" s="71" t="str">
        <f>TEXT(VEND[[#This Row],[Fecha de Envío
Cotización]],"mmmm")</f>
        <v>mayo</v>
      </c>
      <c r="D480" s="66" t="s">
        <v>945</v>
      </c>
      <c r="E480" s="125" t="s">
        <v>83</v>
      </c>
      <c r="F480" s="93">
        <v>44335</v>
      </c>
      <c r="G480" s="93" t="str">
        <f>TEXT(VEND[[#This Row],[Fecha Recibe
O.C]],"mmmm")</f>
        <v>mayo</v>
      </c>
      <c r="H480" s="112">
        <v>6034</v>
      </c>
      <c r="I480" s="112" t="s">
        <v>1476</v>
      </c>
      <c r="J480" s="112"/>
      <c r="K480" s="58">
        <v>1</v>
      </c>
      <c r="L480" s="123">
        <v>155.76</v>
      </c>
      <c r="M480" s="112" t="s">
        <v>36</v>
      </c>
      <c r="N480" s="112">
        <v>28</v>
      </c>
      <c r="O480" s="212">
        <f>IF(VEND[[#This Row],[STATUS]]="O.C",(VEND[[#This Row],[Fecha Recibe
O.C]]+VEND[[#This Row],[Dias
entrega ]]),"")</f>
        <v>44363</v>
      </c>
      <c r="P480" s="212">
        <v>44341</v>
      </c>
      <c r="Q480" s="58">
        <f>IFERROR(VEND[[#This Row],[Fecha de Despacho]]-VEND[[#This Row],[Fecha Estimada de Entrega a  Cliente]],"")</f>
        <v>-22</v>
      </c>
      <c r="R4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0" s="112" t="str">
        <f>IF(VEND[[#This Row],[STATUS]]="O.C","APROBADO",IF(VEND[[#This Row],[STATUS]]="PERDIDO","PERDIDO",IF(VEND[[#This Row],[STATUS]]="EN ESPERA","EN ESPERA")))</f>
        <v>APROBADO</v>
      </c>
      <c r="T480" s="112" t="str">
        <f>IF(VEND[[#This Row],[STATUS]]="O.C","APROBADO",IF(VEND[[#This Row],[STATUS]]="PERDIDO","PERDIDO",IF(VEND[[#This Row],[STATUS]]="EN ESPERA","EN ESPERA")))</f>
        <v>APROBADO</v>
      </c>
      <c r="U480" s="112" t="s">
        <v>46</v>
      </c>
      <c r="V480" s="112" t="s">
        <v>46</v>
      </c>
      <c r="W480" s="112" t="s">
        <v>1401</v>
      </c>
      <c r="X480" s="112"/>
    </row>
    <row r="481" spans="2:24" s="105" customFormat="1" ht="15.75" x14ac:dyDescent="0.25">
      <c r="B481" s="71">
        <v>44333</v>
      </c>
      <c r="C481" s="71" t="str">
        <f>TEXT(VEND[[#This Row],[Fecha de Envío
Cotización]],"mmmm")</f>
        <v>mayo</v>
      </c>
      <c r="D481" s="66" t="s">
        <v>68</v>
      </c>
      <c r="E481" s="125" t="s">
        <v>88</v>
      </c>
      <c r="F481" s="125" t="str">
        <f>IF(VEND[[#This Row],[STATUS]]="PERDIDO","N/A","En espera")</f>
        <v>En espera</v>
      </c>
      <c r="G481" s="93" t="str">
        <f>TEXT(VEND[[#This Row],[Fecha Recibe
O.C]],"mmmm")</f>
        <v>En espera</v>
      </c>
      <c r="H481" s="112">
        <v>30920</v>
      </c>
      <c r="I481" s="112" t="s">
        <v>122</v>
      </c>
      <c r="J481" s="112"/>
      <c r="K481" s="58">
        <v>1</v>
      </c>
      <c r="L481" s="123">
        <v>1980</v>
      </c>
      <c r="M481" s="112" t="s">
        <v>119</v>
      </c>
      <c r="N481" s="112">
        <v>0</v>
      </c>
      <c r="O481" s="212" t="str">
        <f>IF(VEND[[#This Row],[STATUS]]="O.C",(VEND[[#This Row],[Fecha Recibe
O.C]]+VEND[[#This Row],[Dias
entrega ]]),"")</f>
        <v/>
      </c>
      <c r="P481" s="212"/>
      <c r="Q481" s="58" t="str">
        <f>IFERROR(VEND[[#This Row],[Fecha de Despacho]]-VEND[[#This Row],[Fecha Estimada de Entrega a  Cliente]],"")</f>
        <v/>
      </c>
      <c r="R4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1" s="112" t="str">
        <f>IF(VEND[[#This Row],[STATUS]]="O.C","APROBADO",IF(VEND[[#This Row],[STATUS]]="PERDIDO","PERDIDO",IF(VEND[[#This Row],[STATUS]]="EN ESPERA","EN ESPERA")))</f>
        <v>EN ESPERA</v>
      </c>
      <c r="T481" s="112" t="str">
        <f>IF(VEND[[#This Row],[STATUS]]="O.C","APROBADO",IF(VEND[[#This Row],[STATUS]]="PERDIDO","PERDIDO",IF(VEND[[#This Row],[STATUS]]="EN ESPERA","EN ESPERA")))</f>
        <v>EN ESPERA</v>
      </c>
      <c r="U481" s="112" t="s">
        <v>23</v>
      </c>
      <c r="V481" s="112" t="s">
        <v>23</v>
      </c>
      <c r="W481" s="112" t="s">
        <v>1402</v>
      </c>
      <c r="X481" s="112"/>
    </row>
    <row r="482" spans="2:24" ht="15.75" x14ac:dyDescent="0.25">
      <c r="B482" s="71">
        <v>44334</v>
      </c>
      <c r="C482" s="71" t="str">
        <f>TEXT(VEND[[#This Row],[Fecha de Envío
Cotización]],"mmmm")</f>
        <v>mayo</v>
      </c>
      <c r="D482" s="66" t="s">
        <v>50</v>
      </c>
      <c r="E482" s="125" t="s">
        <v>83</v>
      </c>
      <c r="F482" s="125">
        <v>44337</v>
      </c>
      <c r="G482" s="125" t="str">
        <f>TEXT(VEND[[#This Row],[Fecha Recibe
O.C]],"mmmm")</f>
        <v>mayo</v>
      </c>
      <c r="H482" s="112">
        <v>508</v>
      </c>
      <c r="I482" s="112" t="s">
        <v>283</v>
      </c>
      <c r="J482" s="112"/>
      <c r="K482" s="58">
        <v>1</v>
      </c>
      <c r="L482" s="123">
        <v>1954.52</v>
      </c>
      <c r="M482" s="112" t="s">
        <v>16</v>
      </c>
      <c r="N482" s="112">
        <v>21</v>
      </c>
      <c r="O482" s="212">
        <f>IF(VEND[[#This Row],[STATUS]]="O.C",(VEND[[#This Row],[Fecha Recibe
O.C]]+VEND[[#This Row],[Dias
entrega ]]),"")</f>
        <v>44358</v>
      </c>
      <c r="P482" s="212">
        <v>44377</v>
      </c>
      <c r="Q482" s="58">
        <f>IFERROR(VEND[[#This Row],[Fecha de Despacho]]-VEND[[#This Row],[Fecha Estimada de Entrega a  Cliente]],"")</f>
        <v>19</v>
      </c>
      <c r="R4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482" s="112" t="str">
        <f>IF(VEND[[#This Row],[STATUS]]="O.C","APROBADO",IF(VEND[[#This Row],[STATUS]]="PERDIDO","PERDIDO",IF(VEND[[#This Row],[STATUS]]="EN ESPERA","EN ESPERA")))</f>
        <v>APROBADO</v>
      </c>
      <c r="T482" s="112" t="str">
        <f>IF(VEND[[#This Row],[STATUS]]="O.C","APROBADO",IF(VEND[[#This Row],[STATUS]]="PERDIDO","PERDIDO",IF(VEND[[#This Row],[STATUS]]="EN ESPERA","EN ESPERA")))</f>
        <v>APROBADO</v>
      </c>
      <c r="U482" s="112" t="s">
        <v>46</v>
      </c>
      <c r="V482" s="112" t="s">
        <v>46</v>
      </c>
      <c r="W482" s="112" t="s">
        <v>1402</v>
      </c>
      <c r="X482" s="112" t="s">
        <v>1616</v>
      </c>
    </row>
    <row r="483" spans="2:24" s="105" customFormat="1" ht="15.75" x14ac:dyDescent="0.25">
      <c r="B483" s="71">
        <v>44334</v>
      </c>
      <c r="C483" s="71" t="str">
        <f>TEXT(VEND[[#This Row],[Fecha de Envío
Cotización]],"mmmm")</f>
        <v>mayo</v>
      </c>
      <c r="D483" s="66" t="s">
        <v>41</v>
      </c>
      <c r="E483" s="125" t="s">
        <v>42</v>
      </c>
      <c r="F483" s="125" t="str">
        <f>IF(VEND[[#This Row],[STATUS]]="PERDIDO","N/A","En espera")</f>
        <v>N/A</v>
      </c>
      <c r="G483" s="125" t="str">
        <f>TEXT(VEND[[#This Row],[Fecha Recibe
O.C]],"mmmm")</f>
        <v>N/A</v>
      </c>
      <c r="H483" s="112">
        <v>509</v>
      </c>
      <c r="I483" s="112" t="s">
        <v>1558</v>
      </c>
      <c r="J483" s="112"/>
      <c r="K483" s="58">
        <v>1</v>
      </c>
      <c r="L483" s="123">
        <v>2752.36</v>
      </c>
      <c r="M483" s="112" t="s">
        <v>22</v>
      </c>
      <c r="N483" s="112">
        <v>0</v>
      </c>
      <c r="O483" s="212" t="str">
        <f>IF(VEND[[#This Row],[STATUS]]="O.C",(VEND[[#This Row],[Fecha Recibe
O.C]]+VEND[[#This Row],[Dias
entrega ]]),"")</f>
        <v/>
      </c>
      <c r="P483" s="212"/>
      <c r="Q483" s="58" t="str">
        <f>IFERROR(VEND[[#This Row],[Fecha de Despacho]]-VEND[[#This Row],[Fecha Estimada de Entrega a  Cliente]],"")</f>
        <v/>
      </c>
      <c r="R4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3" s="112" t="str">
        <f>IF(VEND[[#This Row],[STATUS]]="O.C","APROBADO",IF(VEND[[#This Row],[STATUS]]="PERDIDO","PERDIDO",IF(VEND[[#This Row],[STATUS]]="EN ESPERA","EN ESPERA")))</f>
        <v>PERDIDO</v>
      </c>
      <c r="T483" s="112" t="str">
        <f>IF(VEND[[#This Row],[STATUS]]="O.C","APROBADO",IF(VEND[[#This Row],[STATUS]]="PERDIDO","PERDIDO",IF(VEND[[#This Row],[STATUS]]="EN ESPERA","EN ESPERA")))</f>
        <v>PERDIDO</v>
      </c>
      <c r="U483" s="112" t="s">
        <v>23</v>
      </c>
      <c r="V483" s="112" t="s">
        <v>23</v>
      </c>
      <c r="W483" s="112" t="s">
        <v>1402</v>
      </c>
      <c r="X483" s="112"/>
    </row>
    <row r="484" spans="2:24" ht="15.75" x14ac:dyDescent="0.25">
      <c r="B484" s="71">
        <v>44334</v>
      </c>
      <c r="C484" s="71" t="str">
        <f>TEXT(VEND[[#This Row],[Fecha de Envío
Cotización]],"mmmm")</f>
        <v>mayo</v>
      </c>
      <c r="D484" s="66" t="s">
        <v>50</v>
      </c>
      <c r="E484" s="125" t="s">
        <v>88</v>
      </c>
      <c r="F484" s="125" t="str">
        <f>IF(VEND[[#This Row],[STATUS]]="PERDIDO","N/A","En espera")</f>
        <v>En espera</v>
      </c>
      <c r="G484" s="125" t="str">
        <f>TEXT(VEND[[#This Row],[Fecha Recibe
O.C]],"mmmm")</f>
        <v>En espera</v>
      </c>
      <c r="H484" s="112">
        <v>511</v>
      </c>
      <c r="I484" s="112" t="s">
        <v>1109</v>
      </c>
      <c r="J484" s="112"/>
      <c r="K484" s="58">
        <v>1</v>
      </c>
      <c r="L484" s="123">
        <v>2016.5</v>
      </c>
      <c r="M484" s="112" t="s">
        <v>16</v>
      </c>
      <c r="N484" s="112">
        <v>21</v>
      </c>
      <c r="O484" s="212" t="str">
        <f>IF(VEND[[#This Row],[STATUS]]="O.C",(VEND[[#This Row],[Fecha Recibe
O.C]]+VEND[[#This Row],[Dias
entrega ]]),"")</f>
        <v/>
      </c>
      <c r="P484" s="212"/>
      <c r="Q484" s="58" t="str">
        <f>IFERROR(VEND[[#This Row],[Fecha de Despacho]]-VEND[[#This Row],[Fecha Estimada de Entrega a  Cliente]],"")</f>
        <v/>
      </c>
      <c r="R4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4" s="112" t="str">
        <f>IF(VEND[[#This Row],[STATUS]]="O.C","APROBADO",IF(VEND[[#This Row],[STATUS]]="PERDIDO","PERDIDO",IF(VEND[[#This Row],[STATUS]]="EN ESPERA","EN ESPERA")))</f>
        <v>EN ESPERA</v>
      </c>
      <c r="T484" s="112" t="str">
        <f>IF(VEND[[#This Row],[STATUS]]="O.C","APROBADO",IF(VEND[[#This Row],[STATUS]]="PERDIDO","PERDIDO",IF(VEND[[#This Row],[STATUS]]="EN ESPERA","EN ESPERA")))</f>
        <v>EN ESPERA</v>
      </c>
      <c r="U484" s="112" t="s">
        <v>23</v>
      </c>
      <c r="V484" s="112" t="s">
        <v>23</v>
      </c>
      <c r="W484" s="112" t="s">
        <v>1401</v>
      </c>
      <c r="X484" s="112"/>
    </row>
    <row r="485" spans="2:24" ht="15.75" x14ac:dyDescent="0.25">
      <c r="B485" s="71">
        <v>44334</v>
      </c>
      <c r="C485" s="71" t="str">
        <f>TEXT(VEND[[#This Row],[Fecha de Envío
Cotización]],"mmmm")</f>
        <v>mayo</v>
      </c>
      <c r="D485" s="66" t="s">
        <v>68</v>
      </c>
      <c r="E485" s="125" t="s">
        <v>83</v>
      </c>
      <c r="F485" s="125">
        <v>44343</v>
      </c>
      <c r="G485" s="125" t="str">
        <f>TEXT(VEND[[#This Row],[Fecha Recibe
O.C]],"mmmm")</f>
        <v>mayo</v>
      </c>
      <c r="H485" s="112">
        <v>512</v>
      </c>
      <c r="I485" s="112" t="s">
        <v>138</v>
      </c>
      <c r="J485" s="112"/>
      <c r="K485" s="58">
        <v>4</v>
      </c>
      <c r="L485" s="123">
        <v>2420.92</v>
      </c>
      <c r="M485" s="112" t="s">
        <v>134</v>
      </c>
      <c r="N485" s="112">
        <v>28</v>
      </c>
      <c r="O485" s="212">
        <f>IF(VEND[[#This Row],[STATUS]]="O.C",(VEND[[#This Row],[Fecha Recibe
O.C]]+VEND[[#This Row],[Dias
entrega ]]),"")</f>
        <v>44371</v>
      </c>
      <c r="P485" s="212">
        <v>44377</v>
      </c>
      <c r="Q485" s="58">
        <f>IFERROR(VEND[[#This Row],[Fecha de Despacho]]-VEND[[#This Row],[Fecha Estimada de Entrega a  Cliente]],"")</f>
        <v>6</v>
      </c>
      <c r="R4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485" s="112" t="str">
        <f>IF(VEND[[#This Row],[STATUS]]="O.C","APROBADO",IF(VEND[[#This Row],[STATUS]]="PERDIDO","PERDIDO",IF(VEND[[#This Row],[STATUS]]="EN ESPERA","EN ESPERA")))</f>
        <v>APROBADO</v>
      </c>
      <c r="T485" s="112" t="str">
        <f>IF(VEND[[#This Row],[STATUS]]="O.C","APROBADO",IF(VEND[[#This Row],[STATUS]]="PERDIDO","PERDIDO",IF(VEND[[#This Row],[STATUS]]="EN ESPERA","EN ESPERA")))</f>
        <v>APROBADO</v>
      </c>
      <c r="U485" s="112" t="s">
        <v>45</v>
      </c>
      <c r="V485" s="112" t="s">
        <v>46</v>
      </c>
      <c r="W485" s="112" t="s">
        <v>1402</v>
      </c>
      <c r="X485" s="112" t="s">
        <v>1716</v>
      </c>
    </row>
    <row r="486" spans="2:24" s="105" customFormat="1" ht="15.75" x14ac:dyDescent="0.25">
      <c r="B486" s="71">
        <v>44334</v>
      </c>
      <c r="C486" s="71" t="str">
        <f>TEXT(VEND[[#This Row],[Fecha de Envío
Cotización]],"mmmm")</f>
        <v>mayo</v>
      </c>
      <c r="D486" s="66" t="s">
        <v>50</v>
      </c>
      <c r="E486" s="125" t="s">
        <v>83</v>
      </c>
      <c r="F486" s="125">
        <v>44362</v>
      </c>
      <c r="G486" s="125" t="str">
        <f>TEXT(VEND[[#This Row],[Fecha Recibe
O.C]],"mmmm")</f>
        <v>junio</v>
      </c>
      <c r="H486" s="112">
        <v>514</v>
      </c>
      <c r="I486" s="112" t="s">
        <v>283</v>
      </c>
      <c r="J486" s="112"/>
      <c r="K486" s="58">
        <v>1</v>
      </c>
      <c r="L486" s="123">
        <v>958.7</v>
      </c>
      <c r="M486" s="112" t="s">
        <v>16</v>
      </c>
      <c r="N486" s="112">
        <v>21</v>
      </c>
      <c r="O486" s="212">
        <f>IF(VEND[[#This Row],[STATUS]]="O.C",(VEND[[#This Row],[Fecha Recibe
O.C]]+VEND[[#This Row],[Dias
entrega ]]),"")</f>
        <v>44383</v>
      </c>
      <c r="P486" s="212"/>
      <c r="Q486" s="58">
        <f>IFERROR(VEND[[#This Row],[Fecha de Despacho]]-VEND[[#This Row],[Fecha Estimada de Entrega a  Cliente]],"")</f>
        <v>-44383</v>
      </c>
      <c r="R4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6" s="112" t="str">
        <f>IF(VEND[[#This Row],[STATUS]]="O.C","APROBADO",IF(VEND[[#This Row],[STATUS]]="PERDIDO","PERDIDO",IF(VEND[[#This Row],[STATUS]]="EN ESPERA","EN ESPERA")))</f>
        <v>APROBADO</v>
      </c>
      <c r="T486" s="112" t="str">
        <f>IF(VEND[[#This Row],[STATUS]]="O.C","APROBADO",IF(VEND[[#This Row],[STATUS]]="PERDIDO","PERDIDO",IF(VEND[[#This Row],[STATUS]]="EN ESPERA","EN ESPERA")))</f>
        <v>APROBADO</v>
      </c>
      <c r="U486" s="112" t="s">
        <v>46</v>
      </c>
      <c r="V486" s="112" t="s">
        <v>46</v>
      </c>
      <c r="W486" s="112" t="s">
        <v>1402</v>
      </c>
      <c r="X486" s="112"/>
    </row>
    <row r="487" spans="2:24" ht="15.75" x14ac:dyDescent="0.25">
      <c r="B487" s="71">
        <v>44334</v>
      </c>
      <c r="C487" s="71" t="str">
        <f>TEXT(VEND[[#This Row],[Fecha de Envío
Cotización]],"mmmm")</f>
        <v>mayo</v>
      </c>
      <c r="D487" s="66" t="s">
        <v>50</v>
      </c>
      <c r="E487" s="125" t="s">
        <v>88</v>
      </c>
      <c r="F487" s="125" t="str">
        <f>IF(VEND[[#This Row],[STATUS]]="PERDIDO","N/A","En espera")</f>
        <v>En espera</v>
      </c>
      <c r="G487" s="125" t="str">
        <f>TEXT(VEND[[#This Row],[Fecha Recibe
O.C]],"mmmm")</f>
        <v>En espera</v>
      </c>
      <c r="H487" s="112">
        <v>515</v>
      </c>
      <c r="I487" s="112" t="s">
        <v>116</v>
      </c>
      <c r="J487" s="112"/>
      <c r="K487" s="58">
        <v>1</v>
      </c>
      <c r="L487" s="123">
        <v>204.11</v>
      </c>
      <c r="M487" s="112" t="s">
        <v>16</v>
      </c>
      <c r="N487" s="112">
        <v>21</v>
      </c>
      <c r="O487" s="212" t="str">
        <f>IF(VEND[[#This Row],[STATUS]]="O.C",(VEND[[#This Row],[Fecha Recibe
O.C]]+VEND[[#This Row],[Dias
entrega ]]),"")</f>
        <v/>
      </c>
      <c r="P487" s="212"/>
      <c r="Q487" s="58" t="str">
        <f>IFERROR(VEND[[#This Row],[Fecha de Despacho]]-VEND[[#This Row],[Fecha Estimada de Entrega a  Cliente]],"")</f>
        <v/>
      </c>
      <c r="R4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7" s="112" t="str">
        <f>IF(VEND[[#This Row],[STATUS]]="O.C","APROBADO",IF(VEND[[#This Row],[STATUS]]="PERDIDO","PERDIDO",IF(VEND[[#This Row],[STATUS]]="EN ESPERA","EN ESPERA")))</f>
        <v>EN ESPERA</v>
      </c>
      <c r="T487" s="112" t="str">
        <f>IF(VEND[[#This Row],[STATUS]]="O.C","APROBADO",IF(VEND[[#This Row],[STATUS]]="PERDIDO","PERDIDO",IF(VEND[[#This Row],[STATUS]]="EN ESPERA","EN ESPERA")))</f>
        <v>EN ESPERA</v>
      </c>
      <c r="U487" s="112" t="s">
        <v>23</v>
      </c>
      <c r="V487" s="112" t="s">
        <v>23</v>
      </c>
      <c r="W487" s="112" t="s">
        <v>1401</v>
      </c>
      <c r="X487" s="112" t="s">
        <v>1674</v>
      </c>
    </row>
    <row r="488" spans="2:24" s="105" customFormat="1" ht="15.75" x14ac:dyDescent="0.25">
      <c r="B488" s="71">
        <v>44334</v>
      </c>
      <c r="C488" s="71" t="str">
        <f>TEXT(VEND[[#This Row],[Fecha de Envío
Cotización]],"mmmm")</f>
        <v>mayo</v>
      </c>
      <c r="D488" s="66" t="s">
        <v>945</v>
      </c>
      <c r="E488" s="125" t="s">
        <v>42</v>
      </c>
      <c r="F488" s="125" t="str">
        <f>IF(VEND[[#This Row],[STATUS]]="PERDIDO","N/A","En espera")</f>
        <v>N/A</v>
      </c>
      <c r="G488" s="125" t="str">
        <f>TEXT(VEND[[#This Row],[Fecha Recibe
O.C]],"mmmm")</f>
        <v>N/A</v>
      </c>
      <c r="H488" s="112">
        <v>20172</v>
      </c>
      <c r="I488" s="112" t="s">
        <v>1546</v>
      </c>
      <c r="J488" s="112"/>
      <c r="K488" s="58">
        <v>1</v>
      </c>
      <c r="L488" s="123">
        <v>77616</v>
      </c>
      <c r="M488" s="112" t="s">
        <v>1553</v>
      </c>
      <c r="N488" s="112">
        <v>45</v>
      </c>
      <c r="O488" s="212" t="str">
        <f>IF(VEND[[#This Row],[STATUS]]="O.C",(VEND[[#This Row],[Fecha Recibe
O.C]]+VEND[[#This Row],[Dias
entrega ]]),"")</f>
        <v/>
      </c>
      <c r="P488" s="212"/>
      <c r="Q488" s="58" t="str">
        <f>IFERROR(VEND[[#This Row],[Fecha de Despacho]]-VEND[[#This Row],[Fecha Estimada de Entrega a  Cliente]],"")</f>
        <v/>
      </c>
      <c r="R4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8" s="112" t="str">
        <f>IF(VEND[[#This Row],[STATUS]]="O.C","APROBADO",IF(VEND[[#This Row],[STATUS]]="PERDIDO","PERDIDO",IF(VEND[[#This Row],[STATUS]]="EN ESPERA","EN ESPERA")))</f>
        <v>PERDIDO</v>
      </c>
      <c r="T488" s="112" t="str">
        <f>IF(VEND[[#This Row],[STATUS]]="O.C","APROBADO",IF(VEND[[#This Row],[STATUS]]="PERDIDO","PERDIDO",IF(VEND[[#This Row],[STATUS]]="EN ESPERA","EN ESPERA")))</f>
        <v>PERDIDO</v>
      </c>
      <c r="U488" s="112" t="s">
        <v>23</v>
      </c>
      <c r="V488" s="112" t="s">
        <v>23</v>
      </c>
      <c r="W488" s="112" t="s">
        <v>1402</v>
      </c>
      <c r="X488" s="112"/>
    </row>
    <row r="489" spans="2:24" s="105" customFormat="1" ht="15.75" x14ac:dyDescent="0.25">
      <c r="B489" s="71">
        <v>44334</v>
      </c>
      <c r="C489" s="71" t="str">
        <f>TEXT(VEND[[#This Row],[Fecha de Envío
Cotización]],"mmmm")</f>
        <v>mayo</v>
      </c>
      <c r="D489" s="66" t="s">
        <v>945</v>
      </c>
      <c r="E489" s="125" t="s">
        <v>42</v>
      </c>
      <c r="F489" s="125" t="str">
        <f>IF(VEND[[#This Row],[STATUS]]="PERDIDO","N/A","En espera")</f>
        <v>N/A</v>
      </c>
      <c r="G489" s="125" t="str">
        <f>TEXT(VEND[[#This Row],[Fecha Recibe
O.C]],"mmmm")</f>
        <v>N/A</v>
      </c>
      <c r="H489" s="112">
        <v>20172</v>
      </c>
      <c r="I489" s="112" t="s">
        <v>1546</v>
      </c>
      <c r="J489" s="112"/>
      <c r="K489" s="58">
        <v>1</v>
      </c>
      <c r="L489" s="123">
        <v>60200</v>
      </c>
      <c r="M489" s="112" t="s">
        <v>1553</v>
      </c>
      <c r="N489" s="112">
        <v>45</v>
      </c>
      <c r="O489" s="212" t="str">
        <f>IF(VEND[[#This Row],[STATUS]]="O.C",(VEND[[#This Row],[Fecha Recibe
O.C]]+VEND[[#This Row],[Dias
entrega ]]),"")</f>
        <v/>
      </c>
      <c r="P489" s="212"/>
      <c r="Q489" s="58" t="str">
        <f>IFERROR(VEND[[#This Row],[Fecha de Despacho]]-VEND[[#This Row],[Fecha Estimada de Entrega a  Cliente]],"")</f>
        <v/>
      </c>
      <c r="R4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89" s="112" t="str">
        <f>IF(VEND[[#This Row],[STATUS]]="O.C","APROBADO",IF(VEND[[#This Row],[STATUS]]="PERDIDO","PERDIDO",IF(VEND[[#This Row],[STATUS]]="EN ESPERA","EN ESPERA")))</f>
        <v>PERDIDO</v>
      </c>
      <c r="T489" s="112" t="str">
        <f>IF(VEND[[#This Row],[STATUS]]="O.C","APROBADO",IF(VEND[[#This Row],[STATUS]]="PERDIDO","PERDIDO",IF(VEND[[#This Row],[STATUS]]="EN ESPERA","EN ESPERA")))</f>
        <v>PERDIDO</v>
      </c>
      <c r="U489" s="112" t="s">
        <v>23</v>
      </c>
      <c r="V489" s="112" t="s">
        <v>23</v>
      </c>
      <c r="W489" s="112" t="s">
        <v>1402</v>
      </c>
      <c r="X489" s="112"/>
    </row>
    <row r="490" spans="2:24" s="105" customFormat="1" ht="15.75" x14ac:dyDescent="0.25">
      <c r="B490" s="71">
        <v>44334</v>
      </c>
      <c r="C490" s="71" t="str">
        <f>TEXT(VEND[[#This Row],[Fecha de Envío
Cotización]],"mmmm")</f>
        <v>mayo</v>
      </c>
      <c r="D490" s="66" t="s">
        <v>945</v>
      </c>
      <c r="E490" s="125" t="s">
        <v>42</v>
      </c>
      <c r="F490" s="125" t="str">
        <f>IF(VEND[[#This Row],[STATUS]]="PERDIDO","N/A","En espera")</f>
        <v>N/A</v>
      </c>
      <c r="G490" s="125" t="str">
        <f>TEXT(VEND[[#This Row],[Fecha Recibe
O.C]],"mmmm")</f>
        <v>N/A</v>
      </c>
      <c r="H490" s="112">
        <v>20172</v>
      </c>
      <c r="I490" s="112" t="s">
        <v>1546</v>
      </c>
      <c r="J490" s="112"/>
      <c r="K490" s="58">
        <v>1</v>
      </c>
      <c r="L490" s="123">
        <v>90900</v>
      </c>
      <c r="M490" s="112" t="s">
        <v>1553</v>
      </c>
      <c r="N490" s="112">
        <v>45</v>
      </c>
      <c r="O490" s="212" t="str">
        <f>IF(VEND[[#This Row],[STATUS]]="O.C",(VEND[[#This Row],[Fecha Recibe
O.C]]+VEND[[#This Row],[Dias
entrega ]]),"")</f>
        <v/>
      </c>
      <c r="P490" s="212"/>
      <c r="Q490" s="58" t="str">
        <f>IFERROR(VEND[[#This Row],[Fecha de Despacho]]-VEND[[#This Row],[Fecha Estimada de Entrega a  Cliente]],"")</f>
        <v/>
      </c>
      <c r="R4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0" s="112" t="str">
        <f>IF(VEND[[#This Row],[STATUS]]="O.C","APROBADO",IF(VEND[[#This Row],[STATUS]]="PERDIDO","PERDIDO",IF(VEND[[#This Row],[STATUS]]="EN ESPERA","EN ESPERA")))</f>
        <v>PERDIDO</v>
      </c>
      <c r="T490" s="112" t="str">
        <f>IF(VEND[[#This Row],[STATUS]]="O.C","APROBADO",IF(VEND[[#This Row],[STATUS]]="PERDIDO","PERDIDO",IF(VEND[[#This Row],[STATUS]]="EN ESPERA","EN ESPERA")))</f>
        <v>PERDIDO</v>
      </c>
      <c r="U490" s="112" t="s">
        <v>23</v>
      </c>
      <c r="V490" s="112" t="s">
        <v>23</v>
      </c>
      <c r="W490" s="112" t="s">
        <v>1402</v>
      </c>
      <c r="X490" s="112"/>
    </row>
    <row r="491" spans="2:24" s="105" customFormat="1" ht="15.75" x14ac:dyDescent="0.25">
      <c r="B491" s="71">
        <v>44334</v>
      </c>
      <c r="C491" s="71" t="str">
        <f>TEXT(VEND[[#This Row],[Fecha de Envío
Cotización]],"mmmm")</f>
        <v>mayo</v>
      </c>
      <c r="D491" s="66" t="s">
        <v>945</v>
      </c>
      <c r="E491" s="125" t="s">
        <v>42</v>
      </c>
      <c r="F491" s="125" t="str">
        <f>IF(VEND[[#This Row],[STATUS]]="PERDIDO","N/A","En espera")</f>
        <v>N/A</v>
      </c>
      <c r="G491" s="125" t="str">
        <f>TEXT(VEND[[#This Row],[Fecha Recibe
O.C]],"mmmm")</f>
        <v>N/A</v>
      </c>
      <c r="H491" s="112">
        <v>20172</v>
      </c>
      <c r="I491" s="112" t="s">
        <v>1546</v>
      </c>
      <c r="J491" s="112"/>
      <c r="K491" s="58">
        <v>1</v>
      </c>
      <c r="L491" s="123">
        <v>57680</v>
      </c>
      <c r="M491" s="112" t="s">
        <v>1553</v>
      </c>
      <c r="N491" s="112">
        <v>45</v>
      </c>
      <c r="O491" s="212" t="str">
        <f>IF(VEND[[#This Row],[STATUS]]="O.C",(VEND[[#This Row],[Fecha Recibe
O.C]]+VEND[[#This Row],[Dias
entrega ]]),"")</f>
        <v/>
      </c>
      <c r="P491" s="212"/>
      <c r="Q491" s="58" t="str">
        <f>IFERROR(VEND[[#This Row],[Fecha de Despacho]]-VEND[[#This Row],[Fecha Estimada de Entrega a  Cliente]],"")</f>
        <v/>
      </c>
      <c r="R4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1" s="112" t="str">
        <f>IF(VEND[[#This Row],[STATUS]]="O.C","APROBADO",IF(VEND[[#This Row],[STATUS]]="PERDIDO","PERDIDO",IF(VEND[[#This Row],[STATUS]]="EN ESPERA","EN ESPERA")))</f>
        <v>PERDIDO</v>
      </c>
      <c r="T491" s="112" t="str">
        <f>IF(VEND[[#This Row],[STATUS]]="O.C","APROBADO",IF(VEND[[#This Row],[STATUS]]="PERDIDO","PERDIDO",IF(VEND[[#This Row],[STATUS]]="EN ESPERA","EN ESPERA")))</f>
        <v>PERDIDO</v>
      </c>
      <c r="U491" s="112" t="s">
        <v>23</v>
      </c>
      <c r="V491" s="112" t="s">
        <v>23</v>
      </c>
      <c r="W491" s="112" t="s">
        <v>1402</v>
      </c>
      <c r="X491" s="112"/>
    </row>
    <row r="492" spans="2:24" ht="15.75" x14ac:dyDescent="0.25">
      <c r="B492" s="232">
        <v>44335</v>
      </c>
      <c r="C492" s="71" t="str">
        <f>TEXT(VEND[[#This Row],[Fecha de Envío
Cotización]],"mmmm")</f>
        <v>mayo</v>
      </c>
      <c r="D492" s="66" t="s">
        <v>1163</v>
      </c>
      <c r="E492" s="125" t="s">
        <v>83</v>
      </c>
      <c r="F492" s="125">
        <v>44362</v>
      </c>
      <c r="G492" s="125" t="str">
        <f>TEXT(VEND[[#This Row],[Fecha Recibe
O.C]],"mmmm")</f>
        <v>junio</v>
      </c>
      <c r="H492" s="112">
        <v>513</v>
      </c>
      <c r="I492" s="112" t="s">
        <v>1241</v>
      </c>
      <c r="J492" s="112"/>
      <c r="K492" s="58">
        <v>1</v>
      </c>
      <c r="L492" s="123">
        <v>13800</v>
      </c>
      <c r="M492" s="112" t="s">
        <v>39</v>
      </c>
      <c r="N492" s="112">
        <v>42</v>
      </c>
      <c r="O492" s="212">
        <f>IF(VEND[[#This Row],[STATUS]]="O.C",(VEND[[#This Row],[Fecha Recibe
O.C]]+VEND[[#This Row],[Dias
entrega ]]),"")</f>
        <v>44404</v>
      </c>
      <c r="P492" s="212"/>
      <c r="Q492" s="58">
        <f>IFERROR(VEND[[#This Row],[Fecha de Despacho]]-VEND[[#This Row],[Fecha Estimada de Entrega a  Cliente]],"")</f>
        <v>-44404</v>
      </c>
      <c r="R4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2" s="112" t="str">
        <f>IF(VEND[[#This Row],[STATUS]]="O.C","APROBADO",IF(VEND[[#This Row],[STATUS]]="PERDIDO","PERDIDO",IF(VEND[[#This Row],[STATUS]]="EN ESPERA","EN ESPERA")))</f>
        <v>APROBADO</v>
      </c>
      <c r="T492" s="112" t="str">
        <f>IF(VEND[[#This Row],[STATUS]]="O.C","APROBADO",IF(VEND[[#This Row],[STATUS]]="PERDIDO","PERDIDO",IF(VEND[[#This Row],[STATUS]]="EN ESPERA","EN ESPERA")))</f>
        <v>APROBADO</v>
      </c>
      <c r="U492" s="112" t="s">
        <v>46</v>
      </c>
      <c r="V492" s="112" t="s">
        <v>46</v>
      </c>
      <c r="W492" s="112" t="s">
        <v>1409</v>
      </c>
      <c r="X492" s="112" t="s">
        <v>2173</v>
      </c>
    </row>
    <row r="493" spans="2:24" s="105" customFormat="1" ht="15.75" x14ac:dyDescent="0.25">
      <c r="B493" s="71">
        <v>44335</v>
      </c>
      <c r="C493" s="71" t="str">
        <f>TEXT(VEND[[#This Row],[Fecha de Envío
Cotización]],"mmmm")</f>
        <v>mayo</v>
      </c>
      <c r="D493" s="66" t="s">
        <v>50</v>
      </c>
      <c r="E493" s="125" t="s">
        <v>88</v>
      </c>
      <c r="F493" s="125" t="str">
        <f>IF(VEND[[#This Row],[STATUS]]="PERDIDO","N/A","En espera")</f>
        <v>En espera</v>
      </c>
      <c r="G493" s="125" t="str">
        <f>TEXT(VEND[[#This Row],[Fecha Recibe
O.C]],"mmmm")</f>
        <v>En espera</v>
      </c>
      <c r="H493" s="112">
        <v>516</v>
      </c>
      <c r="I493" s="112" t="s">
        <v>283</v>
      </c>
      <c r="J493" s="112"/>
      <c r="K493" s="58">
        <v>5</v>
      </c>
      <c r="L493" s="123">
        <v>7503.71</v>
      </c>
      <c r="M493" s="112" t="s">
        <v>73</v>
      </c>
      <c r="N493" s="112">
        <v>14</v>
      </c>
      <c r="O493" s="212" t="str">
        <f>IF(VEND[[#This Row],[STATUS]]="O.C",(VEND[[#This Row],[Fecha Recibe
O.C]]+VEND[[#This Row],[Dias
entrega ]]),"")</f>
        <v/>
      </c>
      <c r="P493" s="212"/>
      <c r="Q493" s="58" t="str">
        <f>IFERROR(VEND[[#This Row],[Fecha de Despacho]]-VEND[[#This Row],[Fecha Estimada de Entrega a  Cliente]],"")</f>
        <v/>
      </c>
      <c r="R4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3" s="112" t="str">
        <f>IF(VEND[[#This Row],[STATUS]]="O.C","APROBADO",IF(VEND[[#This Row],[STATUS]]="PERDIDO","PERDIDO",IF(VEND[[#This Row],[STATUS]]="EN ESPERA","EN ESPERA")))</f>
        <v>EN ESPERA</v>
      </c>
      <c r="T493" s="112" t="str">
        <f>IF(VEND[[#This Row],[STATUS]]="O.C","APROBADO",IF(VEND[[#This Row],[STATUS]]="PERDIDO","PERDIDO",IF(VEND[[#This Row],[STATUS]]="EN ESPERA","EN ESPERA")))</f>
        <v>EN ESPERA</v>
      </c>
      <c r="U493" s="112" t="s">
        <v>23</v>
      </c>
      <c r="V493" s="112" t="s">
        <v>23</v>
      </c>
      <c r="W493" s="112" t="s">
        <v>1404</v>
      </c>
      <c r="X493" s="112"/>
    </row>
    <row r="494" spans="2:24" ht="15.75" x14ac:dyDescent="0.25">
      <c r="B494" s="71">
        <v>44335</v>
      </c>
      <c r="C494" s="71" t="str">
        <f>TEXT(VEND[[#This Row],[Fecha de Envío
Cotización]],"mmmm")</f>
        <v>mayo</v>
      </c>
      <c r="D494" s="66" t="s">
        <v>50</v>
      </c>
      <c r="E494" s="125" t="s">
        <v>88</v>
      </c>
      <c r="F494" s="125" t="str">
        <f>IF(VEND[[#This Row],[STATUS]]="PERDIDO","N/A","En espera")</f>
        <v>En espera</v>
      </c>
      <c r="G494" s="125" t="str">
        <f>TEXT(VEND[[#This Row],[Fecha Recibe
O.C]],"mmmm")</f>
        <v>En espera</v>
      </c>
      <c r="H494" s="112">
        <v>517</v>
      </c>
      <c r="I494" s="112" t="s">
        <v>125</v>
      </c>
      <c r="J494" s="112"/>
      <c r="K494" s="58">
        <v>1</v>
      </c>
      <c r="L494" s="123">
        <v>246.32</v>
      </c>
      <c r="M494" s="112" t="s">
        <v>16</v>
      </c>
      <c r="N494" s="112">
        <v>21</v>
      </c>
      <c r="O494" s="212" t="str">
        <f>IF(VEND[[#This Row],[STATUS]]="O.C",(VEND[[#This Row],[Fecha Recibe
O.C]]+VEND[[#This Row],[Dias
entrega ]]),"")</f>
        <v/>
      </c>
      <c r="P494" s="212"/>
      <c r="Q494" s="58" t="str">
        <f>IFERROR(VEND[[#This Row],[Fecha de Despacho]]-VEND[[#This Row],[Fecha Estimada de Entrega a  Cliente]],"")</f>
        <v/>
      </c>
      <c r="R4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4" s="112" t="str">
        <f>IF(VEND[[#This Row],[STATUS]]="O.C","APROBADO",IF(VEND[[#This Row],[STATUS]]="PERDIDO","PERDIDO",IF(VEND[[#This Row],[STATUS]]="EN ESPERA","EN ESPERA")))</f>
        <v>EN ESPERA</v>
      </c>
      <c r="T494" s="112" t="str">
        <f>IF(VEND[[#This Row],[STATUS]]="O.C","APROBADO",IF(VEND[[#This Row],[STATUS]]="PERDIDO","PERDIDO",IF(VEND[[#This Row],[STATUS]]="EN ESPERA","EN ESPERA")))</f>
        <v>EN ESPERA</v>
      </c>
      <c r="U494" s="112" t="s">
        <v>23</v>
      </c>
      <c r="V494" s="112" t="s">
        <v>23</v>
      </c>
      <c r="W494" s="112" t="s">
        <v>1401</v>
      </c>
      <c r="X494" s="112"/>
    </row>
    <row r="495" spans="2:24" ht="15.75" x14ac:dyDescent="0.25">
      <c r="B495" s="232">
        <v>44335</v>
      </c>
      <c r="C495" s="71" t="str">
        <f>TEXT(VEND[[#This Row],[Fecha de Envío
Cotización]],"mmmm")</f>
        <v>mayo</v>
      </c>
      <c r="D495" s="66" t="s">
        <v>1163</v>
      </c>
      <c r="E495" s="125" t="s">
        <v>83</v>
      </c>
      <c r="F495" s="125">
        <v>44342</v>
      </c>
      <c r="G495" s="125" t="str">
        <f>TEXT(VEND[[#This Row],[Fecha Recibe
O.C]],"mmmm")</f>
        <v>mayo</v>
      </c>
      <c r="H495" s="112">
        <v>518</v>
      </c>
      <c r="I495" s="112" t="s">
        <v>1241</v>
      </c>
      <c r="J495" s="112"/>
      <c r="K495" s="58">
        <v>1</v>
      </c>
      <c r="L495" s="123">
        <v>459.52</v>
      </c>
      <c r="M495" s="112" t="s">
        <v>16</v>
      </c>
      <c r="N495" s="112"/>
      <c r="O495" s="212">
        <f>IF(VEND[[#This Row],[STATUS]]="O.C",(VEND[[#This Row],[Fecha Recibe
O.C]]+VEND[[#This Row],[Dias
entrega ]]),"")</f>
        <v>44342</v>
      </c>
      <c r="P495" s="212"/>
      <c r="Q495" s="58">
        <f>IFERROR(VEND[[#This Row],[Fecha de Despacho]]-VEND[[#This Row],[Fecha Estimada de Entrega a  Cliente]],"")</f>
        <v>-44342</v>
      </c>
      <c r="R4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5" s="112" t="str">
        <f>IF(VEND[[#This Row],[STATUS]]="O.C","APROBADO",IF(VEND[[#This Row],[STATUS]]="PERDIDO","PERDIDO",IF(VEND[[#This Row],[STATUS]]="EN ESPERA","EN ESPERA")))</f>
        <v>APROBADO</v>
      </c>
      <c r="T495" s="112" t="str">
        <f>IF(VEND[[#This Row],[STATUS]]="O.C","APROBADO",IF(VEND[[#This Row],[STATUS]]="PERDIDO","PERDIDO",IF(VEND[[#This Row],[STATUS]]="EN ESPERA","EN ESPERA")))</f>
        <v>APROBADO</v>
      </c>
      <c r="U495" s="112" t="s">
        <v>23</v>
      </c>
      <c r="V495" s="112" t="s">
        <v>23</v>
      </c>
      <c r="W495" s="112" t="s">
        <v>1409</v>
      </c>
      <c r="X495" s="112" t="s">
        <v>1698</v>
      </c>
    </row>
    <row r="496" spans="2:24" ht="15.75" x14ac:dyDescent="0.25">
      <c r="B496" s="126">
        <v>44335</v>
      </c>
      <c r="C496" s="126" t="str">
        <f>TEXT(VEND[[#This Row],[Fecha de Envío
Cotización]],"mmmm")</f>
        <v>mayo</v>
      </c>
      <c r="D496" s="66" t="s">
        <v>50</v>
      </c>
      <c r="E496" s="125" t="s">
        <v>83</v>
      </c>
      <c r="F496" s="127">
        <v>44335</v>
      </c>
      <c r="G496" s="127" t="str">
        <f>TEXT(VEND[[#This Row],[Fecha Recibe
O.C]],"mmmm")</f>
        <v>mayo</v>
      </c>
      <c r="H496" s="112">
        <v>519</v>
      </c>
      <c r="I496" s="112" t="s">
        <v>283</v>
      </c>
      <c r="J496" s="128"/>
      <c r="K496" s="129">
        <v>1</v>
      </c>
      <c r="L496" s="123">
        <v>89.84</v>
      </c>
      <c r="M496" s="112" t="s">
        <v>16</v>
      </c>
      <c r="N496" s="112">
        <v>21</v>
      </c>
      <c r="O496" s="212">
        <f>IF(VEND[[#This Row],[STATUS]]="O.C",(VEND[[#This Row],[Fecha Recibe
O.C]]+VEND[[#This Row],[Dias
entrega ]]),"")</f>
        <v>44356</v>
      </c>
      <c r="P496" s="216"/>
      <c r="Q496" s="129">
        <f>IFERROR(VEND[[#This Row],[Fecha de Despacho]]-VEND[[#This Row],[Fecha Estimada de Entrega a  Cliente]],"")</f>
        <v>-44356</v>
      </c>
      <c r="R4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6" s="128" t="str">
        <f>IF(VEND[[#This Row],[STATUS]]="O.C","APROBADO",IF(VEND[[#This Row],[STATUS]]="PERDIDO","PERDIDO",IF(VEND[[#This Row],[STATUS]]="EN ESPERA","EN ESPERA")))</f>
        <v>APROBADO</v>
      </c>
      <c r="T496" s="128" t="str">
        <f>IF(VEND[[#This Row],[STATUS]]="O.C","APROBADO",IF(VEND[[#This Row],[STATUS]]="PERDIDO","PERDIDO",IF(VEND[[#This Row],[STATUS]]="EN ESPERA","EN ESPERA")))</f>
        <v>APROBADO</v>
      </c>
      <c r="U496" s="112" t="s">
        <v>46</v>
      </c>
      <c r="V496" s="112" t="s">
        <v>46</v>
      </c>
      <c r="W496" s="112" t="s">
        <v>1658</v>
      </c>
      <c r="X496" s="128"/>
    </row>
    <row r="497" spans="2:24" s="105" customFormat="1" ht="15.75" x14ac:dyDescent="0.25">
      <c r="B497" s="237">
        <v>44335</v>
      </c>
      <c r="C497" s="126" t="str">
        <f>TEXT(VEND[[#This Row],[Fecha de Envío
Cotización]],"mmmm")</f>
        <v>mayo</v>
      </c>
      <c r="D497" s="66" t="s">
        <v>1163</v>
      </c>
      <c r="E497" s="125" t="s">
        <v>83</v>
      </c>
      <c r="F497" s="127">
        <v>44344</v>
      </c>
      <c r="G497" s="127" t="str">
        <f>TEXT(VEND[[#This Row],[Fecha Recibe
O.C]],"mmmm")</f>
        <v>mayo</v>
      </c>
      <c r="H497" s="112">
        <v>520</v>
      </c>
      <c r="I497" s="112" t="s">
        <v>1241</v>
      </c>
      <c r="J497" s="128"/>
      <c r="K497" s="129">
        <v>2</v>
      </c>
      <c r="L497" s="123">
        <v>2320</v>
      </c>
      <c r="M497" s="61" t="s">
        <v>124</v>
      </c>
      <c r="N497" s="112"/>
      <c r="O497" s="61">
        <f>IF(VEND[[#This Row],[STATUS]]="O.C",(VEND[[#This Row],[Fecha Recibe
O.C]]+VEND[[#This Row],[Dias
entrega ]]),"")</f>
        <v>44344</v>
      </c>
      <c r="P497" s="216"/>
      <c r="Q497" s="129">
        <f>IFERROR(VEND[[#This Row],[Fecha de Despacho]]-VEND[[#This Row],[Fecha Estimada de Entrega a  Cliente]],"")</f>
        <v>-44344</v>
      </c>
      <c r="R4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7" s="128" t="str">
        <f>IF(VEND[[#This Row],[STATUS]]="O.C","APROBADO",IF(VEND[[#This Row],[STATUS]]="PERDIDO","PERDIDO",IF(VEND[[#This Row],[STATUS]]="EN ESPERA","EN ESPERA")))</f>
        <v>APROBADO</v>
      </c>
      <c r="T497" s="128" t="str">
        <f>IF(VEND[[#This Row],[STATUS]]="O.C","APROBADO",IF(VEND[[#This Row],[STATUS]]="PERDIDO","PERDIDO",IF(VEND[[#This Row],[STATUS]]="EN ESPERA","EN ESPERA")))</f>
        <v>APROBADO</v>
      </c>
      <c r="U497" s="112" t="s">
        <v>23</v>
      </c>
      <c r="V497" s="112" t="s">
        <v>23</v>
      </c>
      <c r="W497" s="112" t="s">
        <v>1409</v>
      </c>
      <c r="X497" s="112" t="s">
        <v>1785</v>
      </c>
    </row>
    <row r="498" spans="2:24" s="105" customFormat="1" ht="15.75" x14ac:dyDescent="0.25">
      <c r="B498" s="71">
        <v>44335</v>
      </c>
      <c r="C498" s="71" t="str">
        <f>TEXT(VEND[[#This Row],[Fecha de Envío
Cotización]],"mmmm")</f>
        <v>mayo</v>
      </c>
      <c r="D498" s="66" t="s">
        <v>50</v>
      </c>
      <c r="E498" s="125" t="s">
        <v>88</v>
      </c>
      <c r="F498" s="125" t="str">
        <f>IF(VEND[[#This Row],[STATUS]]="PERDIDO","N/A","En espera")</f>
        <v>En espera</v>
      </c>
      <c r="G498" s="125" t="str">
        <f>TEXT(VEND[[#This Row],[Fecha Recibe
O.C]],"mmmm")</f>
        <v>En espera</v>
      </c>
      <c r="H498" s="112">
        <v>522</v>
      </c>
      <c r="I498" s="112" t="s">
        <v>129</v>
      </c>
      <c r="J498" s="112"/>
      <c r="K498" s="58">
        <v>1</v>
      </c>
      <c r="L498" s="123">
        <v>596.01</v>
      </c>
      <c r="M498" s="112" t="s">
        <v>16</v>
      </c>
      <c r="N498" s="112">
        <v>21</v>
      </c>
      <c r="O498" s="212" t="str">
        <f>IF(VEND[[#This Row],[STATUS]]="O.C",(VEND[[#This Row],[Fecha Recibe
O.C]]+VEND[[#This Row],[Dias
entrega ]]),"")</f>
        <v/>
      </c>
      <c r="P498" s="212"/>
      <c r="Q498" s="58" t="str">
        <f>IFERROR(VEND[[#This Row],[Fecha de Despacho]]-VEND[[#This Row],[Fecha Estimada de Entrega a  Cliente]],"")</f>
        <v/>
      </c>
      <c r="R4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8" s="112" t="str">
        <f>IF(VEND[[#This Row],[STATUS]]="O.C","APROBADO",IF(VEND[[#This Row],[STATUS]]="PERDIDO","PERDIDO",IF(VEND[[#This Row],[STATUS]]="EN ESPERA","EN ESPERA")))</f>
        <v>EN ESPERA</v>
      </c>
      <c r="T498" s="112" t="str">
        <f>IF(VEND[[#This Row],[STATUS]]="O.C","APROBADO",IF(VEND[[#This Row],[STATUS]]="PERDIDO","PERDIDO",IF(VEND[[#This Row],[STATUS]]="EN ESPERA","EN ESPERA")))</f>
        <v>EN ESPERA</v>
      </c>
      <c r="U498" s="112" t="s">
        <v>23</v>
      </c>
      <c r="V498" s="112" t="s">
        <v>23</v>
      </c>
      <c r="W498" s="112" t="s">
        <v>1402</v>
      </c>
      <c r="X498" s="112" t="s">
        <v>1674</v>
      </c>
    </row>
    <row r="499" spans="2:24" ht="15.75" x14ac:dyDescent="0.25">
      <c r="B499" s="71">
        <v>44335</v>
      </c>
      <c r="C499" s="71" t="str">
        <f>TEXT(VEND[[#This Row],[Fecha de Envío
Cotización]],"mmmm")</f>
        <v>mayo</v>
      </c>
      <c r="D499" s="66" t="s">
        <v>41</v>
      </c>
      <c r="E499" s="125" t="s">
        <v>42</v>
      </c>
      <c r="F499" s="125" t="str">
        <f>IF(VEND[[#This Row],[STATUS]]="PERDIDO","N/A","En espera")</f>
        <v>N/A</v>
      </c>
      <c r="G499" s="125" t="str">
        <f>TEXT(VEND[[#This Row],[Fecha Recibe
O.C]],"mmmm")</f>
        <v>N/A</v>
      </c>
      <c r="H499" s="112">
        <v>3523</v>
      </c>
      <c r="I499" s="112" t="s">
        <v>1558</v>
      </c>
      <c r="J499" s="112"/>
      <c r="K499" s="58">
        <v>14</v>
      </c>
      <c r="L499" s="123">
        <v>7498.72</v>
      </c>
      <c r="M499" s="112" t="s">
        <v>1571</v>
      </c>
      <c r="N499" s="112">
        <v>2</v>
      </c>
      <c r="O499" s="212" t="str">
        <f>IF(VEND[[#This Row],[STATUS]]="O.C",(VEND[[#This Row],[Fecha Recibe
O.C]]+VEND[[#This Row],[Dias
entrega ]]),"")</f>
        <v/>
      </c>
      <c r="P499" s="212"/>
      <c r="Q499" s="58" t="str">
        <f>IFERROR(VEND[[#This Row],[Fecha de Despacho]]-VEND[[#This Row],[Fecha Estimada de Entrega a  Cliente]],"")</f>
        <v/>
      </c>
      <c r="R4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499" s="112" t="str">
        <f>IF(VEND[[#This Row],[STATUS]]="O.C","APROBADO",IF(VEND[[#This Row],[STATUS]]="PERDIDO","PERDIDO",IF(VEND[[#This Row],[STATUS]]="EN ESPERA","EN ESPERA")))</f>
        <v>PERDIDO</v>
      </c>
      <c r="T499" s="112" t="str">
        <f>IF(VEND[[#This Row],[STATUS]]="O.C","APROBADO",IF(VEND[[#This Row],[STATUS]]="PERDIDO","PERDIDO",IF(VEND[[#This Row],[STATUS]]="EN ESPERA","EN ESPERA")))</f>
        <v>PERDIDO</v>
      </c>
      <c r="U499" s="112" t="s">
        <v>23</v>
      </c>
      <c r="V499" s="112" t="s">
        <v>23</v>
      </c>
      <c r="W499" s="112" t="s">
        <v>1402</v>
      </c>
      <c r="X499" s="112"/>
    </row>
    <row r="500" spans="2:24" ht="15.75" x14ac:dyDescent="0.25">
      <c r="B500" s="71">
        <v>44335</v>
      </c>
      <c r="C500" s="71" t="str">
        <f>TEXT(VEND[[#This Row],[Fecha de Envío
Cotización]],"mmmm")</f>
        <v>mayo</v>
      </c>
      <c r="D500" s="66" t="s">
        <v>945</v>
      </c>
      <c r="E500" s="125" t="s">
        <v>88</v>
      </c>
      <c r="F500" s="125" t="str">
        <f>IF(VEND[[#This Row],[STATUS]]="PERDIDO","N/A","En espera")</f>
        <v>En espera</v>
      </c>
      <c r="G500" s="125" t="str">
        <f>TEXT(VEND[[#This Row],[Fecha Recibe
O.C]],"mmmm")</f>
        <v>En espera</v>
      </c>
      <c r="H500" s="112">
        <v>6036</v>
      </c>
      <c r="I500" s="112" t="s">
        <v>424</v>
      </c>
      <c r="J500" s="112"/>
      <c r="K500" s="58">
        <v>3</v>
      </c>
      <c r="L500" s="123">
        <v>7.15</v>
      </c>
      <c r="M500" s="112" t="s">
        <v>22</v>
      </c>
      <c r="N500" s="112">
        <v>0</v>
      </c>
      <c r="O500" s="212" t="str">
        <f>IF(VEND[[#This Row],[STATUS]]="O.C",(VEND[[#This Row],[Fecha Recibe
O.C]]+VEND[[#This Row],[Dias
entrega ]]),"")</f>
        <v/>
      </c>
      <c r="P500" s="212"/>
      <c r="Q500" s="58" t="str">
        <f>IFERROR(VEND[[#This Row],[Fecha de Despacho]]-VEND[[#This Row],[Fecha Estimada de Entrega a  Cliente]],"")</f>
        <v/>
      </c>
      <c r="R5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0" s="112" t="str">
        <f>IF(VEND[[#This Row],[STATUS]]="O.C","APROBADO",IF(VEND[[#This Row],[STATUS]]="PERDIDO","PERDIDO",IF(VEND[[#This Row],[STATUS]]="EN ESPERA","EN ESPERA")))</f>
        <v>EN ESPERA</v>
      </c>
      <c r="T500" s="112" t="str">
        <f>IF(VEND[[#This Row],[STATUS]]="O.C","APROBADO",IF(VEND[[#This Row],[STATUS]]="PERDIDO","PERDIDO",IF(VEND[[#This Row],[STATUS]]="EN ESPERA","EN ESPERA")))</f>
        <v>EN ESPERA</v>
      </c>
      <c r="U500" s="112" t="s">
        <v>23</v>
      </c>
      <c r="V500" s="112" t="s">
        <v>23</v>
      </c>
      <c r="W500" s="112" t="s">
        <v>1402</v>
      </c>
      <c r="X500" s="112"/>
    </row>
    <row r="501" spans="2:24" ht="15.75" x14ac:dyDescent="0.25">
      <c r="B501" s="71">
        <v>44336</v>
      </c>
      <c r="C501" s="71" t="str">
        <f>TEXT(VEND[[#This Row],[Fecha de Envío
Cotización]],"mmmm")</f>
        <v>mayo</v>
      </c>
      <c r="D501" s="66" t="s">
        <v>68</v>
      </c>
      <c r="E501" s="125" t="s">
        <v>88</v>
      </c>
      <c r="F501" s="125" t="str">
        <f>IF(VEND[[#This Row],[STATUS]]="PERDIDO","N/A","En espera")</f>
        <v>En espera</v>
      </c>
      <c r="G501" s="93" t="str">
        <f>TEXT(VEND[[#This Row],[Fecha Recibe
O.C]],"mmmm")</f>
        <v>En espera</v>
      </c>
      <c r="H501" s="112">
        <v>523</v>
      </c>
      <c r="I501" s="112" t="s">
        <v>122</v>
      </c>
      <c r="J501" s="112"/>
      <c r="K501" s="58">
        <v>1</v>
      </c>
      <c r="L501" s="123">
        <v>49.5</v>
      </c>
      <c r="M501" s="112" t="s">
        <v>22</v>
      </c>
      <c r="N501" s="112">
        <v>0</v>
      </c>
      <c r="O501" s="212" t="str">
        <f>IF(VEND[[#This Row],[STATUS]]="O.C",(VEND[[#This Row],[Fecha Recibe
O.C]]+VEND[[#This Row],[Dias
entrega ]]),"")</f>
        <v/>
      </c>
      <c r="P501" s="212"/>
      <c r="Q501" s="58" t="str">
        <f>IFERROR(VEND[[#This Row],[Fecha de Despacho]]-VEND[[#This Row],[Fecha Estimada de Entrega a  Cliente]],"")</f>
        <v/>
      </c>
      <c r="R5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1" s="112" t="str">
        <f>IF(VEND[[#This Row],[STATUS]]="O.C","APROBADO",IF(VEND[[#This Row],[STATUS]]="PERDIDO","PERDIDO",IF(VEND[[#This Row],[STATUS]]="EN ESPERA","EN ESPERA")))</f>
        <v>EN ESPERA</v>
      </c>
      <c r="T501" s="112" t="str">
        <f>IF(VEND[[#This Row],[STATUS]]="O.C","APROBADO",IF(VEND[[#This Row],[STATUS]]="PERDIDO","PERDIDO",IF(VEND[[#This Row],[STATUS]]="EN ESPERA","EN ESPERA")))</f>
        <v>EN ESPERA</v>
      </c>
      <c r="U501" s="112" t="s">
        <v>23</v>
      </c>
      <c r="V501" s="112" t="s">
        <v>23</v>
      </c>
      <c r="W501" s="112" t="s">
        <v>1402</v>
      </c>
      <c r="X501" s="112"/>
    </row>
    <row r="502" spans="2:24" ht="15.75" x14ac:dyDescent="0.25">
      <c r="B502" s="46">
        <v>44336</v>
      </c>
      <c r="C502" s="188" t="str">
        <f>TEXT(VEND[[#This Row],[Fecha de Envío
Cotización]],"mmmm")</f>
        <v>mayo</v>
      </c>
      <c r="D502" s="66" t="s">
        <v>1163</v>
      </c>
      <c r="E502" s="125" t="s">
        <v>88</v>
      </c>
      <c r="F502" s="125" t="str">
        <f>IF(VEND[[#This Row],[STATUS]]="PERDIDO","N/A","En espera")</f>
        <v>En espera</v>
      </c>
      <c r="G502" s="127" t="str">
        <f>TEXT(VEND[[#This Row],[Fecha Recibe
O.C]],"mmmm")</f>
        <v>En espera</v>
      </c>
      <c r="H502" s="112">
        <v>524</v>
      </c>
      <c r="I502" s="128" t="s">
        <v>1241</v>
      </c>
      <c r="J502" s="128"/>
      <c r="K502" s="129">
        <v>2</v>
      </c>
      <c r="L502" s="123">
        <v>7290.28</v>
      </c>
      <c r="M502" s="128"/>
      <c r="N502" s="112"/>
      <c r="O502" s="212" t="str">
        <f>IF(VEND[[#This Row],[STATUS]]="O.C",(VEND[[#This Row],[Fecha Recibe
O.C]]+VEND[[#This Row],[Dias
entrega ]]),"")</f>
        <v/>
      </c>
      <c r="P502" s="216"/>
      <c r="Q502" s="129" t="str">
        <f>IFERROR(VEND[[#This Row],[Fecha de Despacho]]-VEND[[#This Row],[Fecha Estimada de Entrega a  Cliente]],"")</f>
        <v/>
      </c>
      <c r="R5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2" s="128" t="str">
        <f>IF(VEND[[#This Row],[STATUS]]="O.C","APROBADO",IF(VEND[[#This Row],[STATUS]]="PERDIDO","PERDIDO",IF(VEND[[#This Row],[STATUS]]="EN ESPERA","EN ESPERA")))</f>
        <v>EN ESPERA</v>
      </c>
      <c r="T502" s="128" t="str">
        <f>IF(VEND[[#This Row],[STATUS]]="O.C","APROBADO",IF(VEND[[#This Row],[STATUS]]="PERDIDO","PERDIDO",IF(VEND[[#This Row],[STATUS]]="EN ESPERA","EN ESPERA")))</f>
        <v>EN ESPERA</v>
      </c>
      <c r="U502" s="112" t="s">
        <v>23</v>
      </c>
      <c r="V502" s="112" t="s">
        <v>23</v>
      </c>
      <c r="W502" s="112" t="s">
        <v>1409</v>
      </c>
      <c r="X502" s="128"/>
    </row>
    <row r="503" spans="2:24" ht="15.75" x14ac:dyDescent="0.25">
      <c r="B503" s="71">
        <v>44336</v>
      </c>
      <c r="C503" s="71" t="str">
        <f>TEXT(VEND[[#This Row],[Fecha de Envío
Cotización]],"mmmm")</f>
        <v>mayo</v>
      </c>
      <c r="D503" s="66" t="s">
        <v>68</v>
      </c>
      <c r="E503" s="125" t="s">
        <v>42</v>
      </c>
      <c r="F503" s="125" t="str">
        <f>IF(VEND[[#This Row],[STATUS]]="PERDIDO","N/A","En espera")</f>
        <v>N/A</v>
      </c>
      <c r="G503" s="93" t="str">
        <f>TEXT(VEND[[#This Row],[Fecha Recibe
O.C]],"mmmm")</f>
        <v>N/A</v>
      </c>
      <c r="H503" s="112">
        <v>526</v>
      </c>
      <c r="I503" s="112" t="s">
        <v>1593</v>
      </c>
      <c r="J503" s="112"/>
      <c r="K503" s="58">
        <v>1</v>
      </c>
      <c r="L503" s="123">
        <v>388.08</v>
      </c>
      <c r="M503" s="112" t="s">
        <v>73</v>
      </c>
      <c r="N503" s="112">
        <v>14</v>
      </c>
      <c r="O503" s="212" t="str">
        <f>IF(VEND[[#This Row],[STATUS]]="O.C",(VEND[[#This Row],[Fecha Recibe
O.C]]+VEND[[#This Row],[Dias
entrega ]]),"")</f>
        <v/>
      </c>
      <c r="P503" s="212"/>
      <c r="Q503" s="58" t="str">
        <f>IFERROR(VEND[[#This Row],[Fecha de Despacho]]-VEND[[#This Row],[Fecha Estimada de Entrega a  Cliente]],"")</f>
        <v/>
      </c>
      <c r="R5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3" s="112" t="str">
        <f>IF(VEND[[#This Row],[STATUS]]="O.C","APROBADO",IF(VEND[[#This Row],[STATUS]]="PERDIDO","PERDIDO",IF(VEND[[#This Row],[STATUS]]="EN ESPERA","EN ESPERA")))</f>
        <v>PERDIDO</v>
      </c>
      <c r="T503" s="112" t="str">
        <f>IF(VEND[[#This Row],[STATUS]]="O.C","APROBADO",IF(VEND[[#This Row],[STATUS]]="PERDIDO","PERDIDO",IF(VEND[[#This Row],[STATUS]]="EN ESPERA","EN ESPERA")))</f>
        <v>PERDIDO</v>
      </c>
      <c r="U503" s="112" t="s">
        <v>23</v>
      </c>
      <c r="V503" s="112" t="s">
        <v>23</v>
      </c>
      <c r="W503" s="112" t="s">
        <v>1401</v>
      </c>
      <c r="X503" s="112" t="s">
        <v>1712</v>
      </c>
    </row>
    <row r="504" spans="2:24" ht="15.75" x14ac:dyDescent="0.25">
      <c r="B504" s="46">
        <v>44336</v>
      </c>
      <c r="C504" s="188" t="str">
        <f>TEXT(VEND[[#This Row],[Fecha de Envío
Cotización]],"mmmm")</f>
        <v>mayo</v>
      </c>
      <c r="D504" s="66" t="s">
        <v>1163</v>
      </c>
      <c r="E504" s="125" t="s">
        <v>88</v>
      </c>
      <c r="F504" s="125" t="str">
        <f>IF(VEND[[#This Row],[STATUS]]="PERDIDO","N/A","En espera")</f>
        <v>En espera</v>
      </c>
      <c r="G504" s="127" t="str">
        <f>TEXT(VEND[[#This Row],[Fecha Recibe
O.C]],"mmmm")</f>
        <v>En espera</v>
      </c>
      <c r="H504" s="112">
        <v>527</v>
      </c>
      <c r="I504" s="128" t="s">
        <v>1241</v>
      </c>
      <c r="J504" s="128"/>
      <c r="K504" s="129">
        <v>1</v>
      </c>
      <c r="L504" s="123">
        <v>6380</v>
      </c>
      <c r="M504" s="128"/>
      <c r="N504" s="112"/>
      <c r="O504" s="212" t="str">
        <f>IF(VEND[[#This Row],[STATUS]]="O.C",(VEND[[#This Row],[Fecha Recibe
O.C]]+VEND[[#This Row],[Dias
entrega ]]),"")</f>
        <v/>
      </c>
      <c r="P504" s="216"/>
      <c r="Q504" s="129" t="str">
        <f>IFERROR(VEND[[#This Row],[Fecha de Despacho]]-VEND[[#This Row],[Fecha Estimada de Entrega a  Cliente]],"")</f>
        <v/>
      </c>
      <c r="R5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4" s="128" t="str">
        <f>IF(VEND[[#This Row],[STATUS]]="O.C","APROBADO",IF(VEND[[#This Row],[STATUS]]="PERDIDO","PERDIDO",IF(VEND[[#This Row],[STATUS]]="EN ESPERA","EN ESPERA")))</f>
        <v>EN ESPERA</v>
      </c>
      <c r="T504" s="128" t="str">
        <f>IF(VEND[[#This Row],[STATUS]]="O.C","APROBADO",IF(VEND[[#This Row],[STATUS]]="PERDIDO","PERDIDO",IF(VEND[[#This Row],[STATUS]]="EN ESPERA","EN ESPERA")))</f>
        <v>EN ESPERA</v>
      </c>
      <c r="U504" s="112" t="s">
        <v>23</v>
      </c>
      <c r="V504" s="112" t="s">
        <v>23</v>
      </c>
      <c r="W504" s="112" t="s">
        <v>1409</v>
      </c>
      <c r="X504" s="128"/>
    </row>
    <row r="505" spans="2:24" ht="15.75" x14ac:dyDescent="0.25">
      <c r="B505" s="236">
        <v>44336</v>
      </c>
      <c r="C505" s="188" t="str">
        <f>TEXT(VEND[[#This Row],[Fecha de Envío
Cotización]],"mmmm")</f>
        <v>mayo</v>
      </c>
      <c r="D505" s="66" t="s">
        <v>1163</v>
      </c>
      <c r="E505" s="125" t="s">
        <v>83</v>
      </c>
      <c r="F505" s="125">
        <v>44341</v>
      </c>
      <c r="G505" s="127" t="str">
        <f>TEXT(VEND[[#This Row],[Fecha Recibe
O.C]],"mmmm")</f>
        <v>mayo</v>
      </c>
      <c r="H505" s="112">
        <v>528</v>
      </c>
      <c r="I505" s="128" t="s">
        <v>1241</v>
      </c>
      <c r="J505" s="128"/>
      <c r="K505" s="129">
        <v>2</v>
      </c>
      <c r="L505" s="123">
        <v>2273.9299999999998</v>
      </c>
      <c r="M505" s="112" t="s">
        <v>16</v>
      </c>
      <c r="N505" s="112">
        <v>21</v>
      </c>
      <c r="O505" s="216">
        <f>IF(VEND[[#This Row],[STATUS]]="O.C",(VEND[[#This Row],[Fecha Recibe
O.C]]+VEND[[#This Row],[Dias
entrega ]]),"")</f>
        <v>44362</v>
      </c>
      <c r="P505" s="216">
        <v>44376</v>
      </c>
      <c r="Q505" s="129">
        <f>IFERROR(VEND[[#This Row],[Fecha de Despacho]]-VEND[[#This Row],[Fecha Estimada de Entrega a  Cliente]],"")</f>
        <v>14</v>
      </c>
      <c r="R5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505" s="128" t="str">
        <f>IF(VEND[[#This Row],[STATUS]]="O.C","APROBADO",IF(VEND[[#This Row],[STATUS]]="PERDIDO","PERDIDO",IF(VEND[[#This Row],[STATUS]]="EN ESPERA","EN ESPERA")))</f>
        <v>APROBADO</v>
      </c>
      <c r="T505" s="128" t="str">
        <f>IF(VEND[[#This Row],[STATUS]]="O.C","APROBADO",IF(VEND[[#This Row],[STATUS]]="PERDIDO","PERDIDO",IF(VEND[[#This Row],[STATUS]]="EN ESPERA","EN ESPERA")))</f>
        <v>APROBADO</v>
      </c>
      <c r="U505" s="112" t="s">
        <v>46</v>
      </c>
      <c r="V505" s="112" t="s">
        <v>46</v>
      </c>
      <c r="W505" s="112" t="s">
        <v>1409</v>
      </c>
      <c r="X505" s="112" t="s">
        <v>1798</v>
      </c>
    </row>
    <row r="506" spans="2:24" ht="15.75" x14ac:dyDescent="0.25">
      <c r="B506" s="71">
        <v>44336</v>
      </c>
      <c r="C506" s="71" t="str">
        <f>TEXT(VEND[[#This Row],[Fecha de Envío
Cotización]],"mmmm")</f>
        <v>mayo</v>
      </c>
      <c r="D506" s="66" t="s">
        <v>50</v>
      </c>
      <c r="E506" s="125" t="s">
        <v>88</v>
      </c>
      <c r="F506" s="125" t="str">
        <f>IF(VEND[[#This Row],[STATUS]]="PERDIDO","N/A","En espera")</f>
        <v>En espera</v>
      </c>
      <c r="G506" s="93" t="str">
        <f>TEXT(VEND[[#This Row],[Fecha Recibe
O.C]],"mmmm")</f>
        <v>En espera</v>
      </c>
      <c r="H506" s="112">
        <v>529</v>
      </c>
      <c r="I506" s="112" t="s">
        <v>283</v>
      </c>
      <c r="J506" s="112"/>
      <c r="K506" s="58">
        <v>2</v>
      </c>
      <c r="L506" s="123">
        <v>5103.6499999999996</v>
      </c>
      <c r="M506" s="112" t="s">
        <v>51</v>
      </c>
      <c r="N506" s="112">
        <v>21</v>
      </c>
      <c r="O506" s="212" t="str">
        <f>IF(VEND[[#This Row],[STATUS]]="O.C",(VEND[[#This Row],[Fecha Recibe
O.C]]+VEND[[#This Row],[Dias
entrega ]]),"")</f>
        <v/>
      </c>
      <c r="P506" s="212"/>
      <c r="Q506" s="58" t="str">
        <f>IFERROR(VEND[[#This Row],[Fecha de Despacho]]-VEND[[#This Row],[Fecha Estimada de Entrega a  Cliente]],"")</f>
        <v/>
      </c>
      <c r="R5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6" s="112" t="str">
        <f>IF(VEND[[#This Row],[STATUS]]="O.C","APROBADO",IF(VEND[[#This Row],[STATUS]]="PERDIDO","PERDIDO",IF(VEND[[#This Row],[STATUS]]="EN ESPERA","EN ESPERA")))</f>
        <v>EN ESPERA</v>
      </c>
      <c r="T506" s="112" t="str">
        <f>IF(VEND[[#This Row],[STATUS]]="O.C","APROBADO",IF(VEND[[#This Row],[STATUS]]="PERDIDO","PERDIDO",IF(VEND[[#This Row],[STATUS]]="EN ESPERA","EN ESPERA")))</f>
        <v>EN ESPERA</v>
      </c>
      <c r="U506" s="112" t="s">
        <v>23</v>
      </c>
      <c r="V506" s="112" t="s">
        <v>23</v>
      </c>
      <c r="W506" s="112" t="s">
        <v>1404</v>
      </c>
      <c r="X506" s="112"/>
    </row>
    <row r="507" spans="2:24" ht="15.75" x14ac:dyDescent="0.25">
      <c r="B507" s="71">
        <v>44336</v>
      </c>
      <c r="C507" s="71" t="str">
        <f>TEXT(VEND[[#This Row],[Fecha de Envío
Cotización]],"mmmm")</f>
        <v>mayo</v>
      </c>
      <c r="D507" s="66" t="s">
        <v>50</v>
      </c>
      <c r="E507" s="125" t="s">
        <v>88</v>
      </c>
      <c r="F507" s="125" t="str">
        <f>IF(VEND[[#This Row],[STATUS]]="PERDIDO","N/A","En espera")</f>
        <v>En espera</v>
      </c>
      <c r="G507" s="125" t="str">
        <f>TEXT(VEND[[#This Row],[Fecha Recibe
O.C]],"mmmm")</f>
        <v>En espera</v>
      </c>
      <c r="H507" s="112">
        <v>530</v>
      </c>
      <c r="I507" s="112" t="s">
        <v>126</v>
      </c>
      <c r="J507" s="112"/>
      <c r="K507" s="58">
        <v>1</v>
      </c>
      <c r="L507" s="123">
        <v>3268.8</v>
      </c>
      <c r="M507" s="112" t="s">
        <v>36</v>
      </c>
      <c r="N507" s="112">
        <v>28</v>
      </c>
      <c r="O507" s="212" t="str">
        <f>IF(VEND[[#This Row],[STATUS]]="O.C",(VEND[[#This Row],[Fecha Recibe
O.C]]+VEND[[#This Row],[Dias
entrega ]]),"")</f>
        <v/>
      </c>
      <c r="P507" s="212"/>
      <c r="Q507" s="58" t="str">
        <f>IFERROR(VEND[[#This Row],[Fecha de Despacho]]-VEND[[#This Row],[Fecha Estimada de Entrega a  Cliente]],"")</f>
        <v/>
      </c>
      <c r="R5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7" s="112" t="str">
        <f>IF(VEND[[#This Row],[STATUS]]="O.C","APROBADO",IF(VEND[[#This Row],[STATUS]]="PERDIDO","PERDIDO",IF(VEND[[#This Row],[STATUS]]="EN ESPERA","EN ESPERA")))</f>
        <v>EN ESPERA</v>
      </c>
      <c r="T507" s="112" t="str">
        <f>IF(VEND[[#This Row],[STATUS]]="O.C","APROBADO",IF(VEND[[#This Row],[STATUS]]="PERDIDO","PERDIDO",IF(VEND[[#This Row],[STATUS]]="EN ESPERA","EN ESPERA")))</f>
        <v>EN ESPERA</v>
      </c>
      <c r="U507" s="112" t="s">
        <v>23</v>
      </c>
      <c r="V507" s="112" t="s">
        <v>23</v>
      </c>
      <c r="W507" s="112" t="s">
        <v>1401</v>
      </c>
      <c r="X507" s="112"/>
    </row>
    <row r="508" spans="2:24" ht="15.75" x14ac:dyDescent="0.25">
      <c r="B508" s="46">
        <v>44336</v>
      </c>
      <c r="C508" s="188" t="str">
        <f>TEXT(VEND[[#This Row],[Fecha de Envío
Cotización]],"mmmm")</f>
        <v>mayo</v>
      </c>
      <c r="D508" s="66" t="s">
        <v>1163</v>
      </c>
      <c r="E508" s="125" t="s">
        <v>88</v>
      </c>
      <c r="F508" s="125" t="str">
        <f>IF(VEND[[#This Row],[STATUS]]="PERDIDO","N/A","En espera")</f>
        <v>En espera</v>
      </c>
      <c r="G508" s="127" t="str">
        <f>TEXT(VEND[[#This Row],[Fecha Recibe
O.C]],"mmmm")</f>
        <v>En espera</v>
      </c>
      <c r="H508" s="112">
        <v>531</v>
      </c>
      <c r="I508" s="128" t="s">
        <v>1241</v>
      </c>
      <c r="J508" s="128"/>
      <c r="K508" s="129">
        <v>1</v>
      </c>
      <c r="L508" s="123">
        <v>6023.76</v>
      </c>
      <c r="M508" s="128"/>
      <c r="N508" s="112"/>
      <c r="O508" s="212" t="str">
        <f>IF(VEND[[#This Row],[STATUS]]="O.C",(VEND[[#This Row],[Fecha Recibe
O.C]]+VEND[[#This Row],[Dias
entrega ]]),"")</f>
        <v/>
      </c>
      <c r="P508" s="216"/>
      <c r="Q508" s="129" t="str">
        <f>IFERROR(VEND[[#This Row],[Fecha de Despacho]]-VEND[[#This Row],[Fecha Estimada de Entrega a  Cliente]],"")</f>
        <v/>
      </c>
      <c r="R50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8" s="128" t="str">
        <f>IF(VEND[[#This Row],[STATUS]]="O.C","APROBADO",IF(VEND[[#This Row],[STATUS]]="PERDIDO","PERDIDO",IF(VEND[[#This Row],[STATUS]]="EN ESPERA","EN ESPERA")))</f>
        <v>EN ESPERA</v>
      </c>
      <c r="T508" s="128" t="str">
        <f>IF(VEND[[#This Row],[STATUS]]="O.C","APROBADO",IF(VEND[[#This Row],[STATUS]]="PERDIDO","PERDIDO",IF(VEND[[#This Row],[STATUS]]="EN ESPERA","EN ESPERA")))</f>
        <v>EN ESPERA</v>
      </c>
      <c r="U508" s="112" t="s">
        <v>23</v>
      </c>
      <c r="V508" s="112" t="s">
        <v>23</v>
      </c>
      <c r="W508" s="112" t="s">
        <v>1409</v>
      </c>
      <c r="X508" s="128"/>
    </row>
    <row r="509" spans="2:24" ht="15.75" x14ac:dyDescent="0.25">
      <c r="B509" s="46">
        <v>44336</v>
      </c>
      <c r="C509" s="188" t="str">
        <f>TEXT(VEND[[#This Row],[Fecha de Envío
Cotización]],"mmmm")</f>
        <v>mayo</v>
      </c>
      <c r="D509" s="66" t="s">
        <v>1163</v>
      </c>
      <c r="E509" s="125" t="s">
        <v>88</v>
      </c>
      <c r="F509" s="125" t="str">
        <f>IF(VEND[[#This Row],[STATUS]]="PERDIDO","N/A","En espera")</f>
        <v>En espera</v>
      </c>
      <c r="G509" s="127" t="str">
        <f>TEXT(VEND[[#This Row],[Fecha Recibe
O.C]],"mmmm")</f>
        <v>En espera</v>
      </c>
      <c r="H509" s="112">
        <v>532</v>
      </c>
      <c r="I509" s="128" t="s">
        <v>1241</v>
      </c>
      <c r="J509" s="128"/>
      <c r="K509" s="129">
        <v>2</v>
      </c>
      <c r="L509" s="123">
        <v>1079.74</v>
      </c>
      <c r="M509" s="128"/>
      <c r="N509" s="112"/>
      <c r="O509" s="212" t="str">
        <f>IF(VEND[[#This Row],[STATUS]]="O.C",(VEND[[#This Row],[Fecha Recibe
O.C]]+VEND[[#This Row],[Dias
entrega ]]),"")</f>
        <v/>
      </c>
      <c r="P509" s="216"/>
      <c r="Q509" s="129" t="str">
        <f>IFERROR(VEND[[#This Row],[Fecha de Despacho]]-VEND[[#This Row],[Fecha Estimada de Entrega a  Cliente]],"")</f>
        <v/>
      </c>
      <c r="R5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09" s="128" t="str">
        <f>IF(VEND[[#This Row],[STATUS]]="O.C","APROBADO",IF(VEND[[#This Row],[STATUS]]="PERDIDO","PERDIDO",IF(VEND[[#This Row],[STATUS]]="EN ESPERA","EN ESPERA")))</f>
        <v>EN ESPERA</v>
      </c>
      <c r="T509" s="128" t="str">
        <f>IF(VEND[[#This Row],[STATUS]]="O.C","APROBADO",IF(VEND[[#This Row],[STATUS]]="PERDIDO","PERDIDO",IF(VEND[[#This Row],[STATUS]]="EN ESPERA","EN ESPERA")))</f>
        <v>EN ESPERA</v>
      </c>
      <c r="U509" s="112" t="s">
        <v>23</v>
      </c>
      <c r="V509" s="112" t="s">
        <v>23</v>
      </c>
      <c r="W509" s="112" t="s">
        <v>1409</v>
      </c>
      <c r="X509" s="128"/>
    </row>
    <row r="510" spans="2:24" ht="15.75" x14ac:dyDescent="0.25">
      <c r="B510" s="71">
        <v>44336</v>
      </c>
      <c r="C510" s="71" t="str">
        <f>TEXT(VEND[[#This Row],[Fecha de Envío
Cotización]],"mmmm")</f>
        <v>mayo</v>
      </c>
      <c r="D510" s="66" t="s">
        <v>50</v>
      </c>
      <c r="E510" s="125" t="s">
        <v>42</v>
      </c>
      <c r="F510" s="125" t="str">
        <f>IF(VEND[[#This Row],[STATUS]]="PERDIDO","N/A","En espera")</f>
        <v>N/A</v>
      </c>
      <c r="G510" s="125" t="str">
        <f>TEXT(VEND[[#This Row],[Fecha Recibe
O.C]],"mmmm")</f>
        <v>N/A</v>
      </c>
      <c r="H510" s="112">
        <v>533</v>
      </c>
      <c r="I510" s="112" t="s">
        <v>283</v>
      </c>
      <c r="J510" s="112"/>
      <c r="K510" s="58">
        <v>2</v>
      </c>
      <c r="L510" s="123">
        <v>13118.31</v>
      </c>
      <c r="M510" s="112" t="s">
        <v>36</v>
      </c>
      <c r="N510" s="112">
        <v>28</v>
      </c>
      <c r="O510" s="212" t="str">
        <f>IF(VEND[[#This Row],[STATUS]]="O.C",(VEND[[#This Row],[Fecha Recibe
O.C]]+VEND[[#This Row],[Dias
entrega ]]),"")</f>
        <v/>
      </c>
      <c r="P510" s="212"/>
      <c r="Q510" s="58" t="str">
        <f>IFERROR(VEND[[#This Row],[Fecha de Despacho]]-VEND[[#This Row],[Fecha Estimada de Entrega a  Cliente]],"")</f>
        <v/>
      </c>
      <c r="R5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0" s="112" t="str">
        <f>IF(VEND[[#This Row],[STATUS]]="O.C","APROBADO",IF(VEND[[#This Row],[STATUS]]="PERDIDO","PERDIDO",IF(VEND[[#This Row],[STATUS]]="EN ESPERA","EN ESPERA")))</f>
        <v>PERDIDO</v>
      </c>
      <c r="T510" s="112" t="str">
        <f>IF(VEND[[#This Row],[STATUS]]="O.C","APROBADO",IF(VEND[[#This Row],[STATUS]]="PERDIDO","PERDIDO",IF(VEND[[#This Row],[STATUS]]="EN ESPERA","EN ESPERA")))</f>
        <v>PERDIDO</v>
      </c>
      <c r="U510" s="112" t="s">
        <v>23</v>
      </c>
      <c r="V510" s="112" t="s">
        <v>23</v>
      </c>
      <c r="W510" s="112" t="s">
        <v>1658</v>
      </c>
      <c r="X510" s="112" t="s">
        <v>1763</v>
      </c>
    </row>
    <row r="511" spans="2:24" ht="15.75" x14ac:dyDescent="0.25">
      <c r="B511" s="71">
        <v>44336</v>
      </c>
      <c r="C511" s="71" t="str">
        <f>TEXT(VEND[[#This Row],[Fecha de Envío
Cotización]],"mmmm")</f>
        <v>mayo</v>
      </c>
      <c r="D511" s="66" t="s">
        <v>50</v>
      </c>
      <c r="E511" s="125" t="s">
        <v>88</v>
      </c>
      <c r="F511" s="125" t="str">
        <f>IF(VEND[[#This Row],[STATUS]]="PERDIDO","N/A","En espera")</f>
        <v>En espera</v>
      </c>
      <c r="G511" s="125" t="str">
        <f>TEXT(VEND[[#This Row],[Fecha Recibe
O.C]],"mmmm")</f>
        <v>En espera</v>
      </c>
      <c r="H511" s="112">
        <v>535</v>
      </c>
      <c r="I511" s="112" t="s">
        <v>283</v>
      </c>
      <c r="J511" s="112"/>
      <c r="K511" s="58">
        <v>2</v>
      </c>
      <c r="L511" s="123">
        <v>9320.25</v>
      </c>
      <c r="M511" s="112" t="s">
        <v>36</v>
      </c>
      <c r="N511" s="112">
        <v>28</v>
      </c>
      <c r="O511" s="212" t="str">
        <f>IF(VEND[[#This Row],[STATUS]]="O.C",(VEND[[#This Row],[Fecha Recibe
O.C]]+VEND[[#This Row],[Dias
entrega ]]),"")</f>
        <v/>
      </c>
      <c r="P511" s="212"/>
      <c r="Q511" s="58" t="str">
        <f>IFERROR(VEND[[#This Row],[Fecha de Despacho]]-VEND[[#This Row],[Fecha Estimada de Entrega a  Cliente]],"")</f>
        <v/>
      </c>
      <c r="R5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1" s="112" t="str">
        <f>IF(VEND[[#This Row],[STATUS]]="O.C","APROBADO",IF(VEND[[#This Row],[STATUS]]="PERDIDO","PERDIDO",IF(VEND[[#This Row],[STATUS]]="EN ESPERA","EN ESPERA")))</f>
        <v>EN ESPERA</v>
      </c>
      <c r="T511" s="112" t="str">
        <f>IF(VEND[[#This Row],[STATUS]]="O.C","APROBADO",IF(VEND[[#This Row],[STATUS]]="PERDIDO","PERDIDO",IF(VEND[[#This Row],[STATUS]]="EN ESPERA","EN ESPERA")))</f>
        <v>EN ESPERA</v>
      </c>
      <c r="U511" s="112" t="s">
        <v>23</v>
      </c>
      <c r="V511" s="112" t="s">
        <v>23</v>
      </c>
      <c r="W511" s="112" t="s">
        <v>1658</v>
      </c>
      <c r="X511" s="112"/>
    </row>
    <row r="512" spans="2:24" ht="15.75" x14ac:dyDescent="0.25">
      <c r="B512" s="46">
        <v>44336</v>
      </c>
      <c r="C512" s="188" t="str">
        <f>TEXT(VEND[[#This Row],[Fecha de Envío
Cotización]],"mmmm")</f>
        <v>mayo</v>
      </c>
      <c r="D512" s="66" t="s">
        <v>1163</v>
      </c>
      <c r="E512" s="125" t="s">
        <v>88</v>
      </c>
      <c r="F512" s="125" t="str">
        <f>IF(VEND[[#This Row],[STATUS]]="PERDIDO","N/A","En espera")</f>
        <v>En espera</v>
      </c>
      <c r="G512" s="127" t="str">
        <f>TEXT(VEND[[#This Row],[Fecha Recibe
O.C]],"mmmm")</f>
        <v>En espera</v>
      </c>
      <c r="H512" s="112">
        <v>536</v>
      </c>
      <c r="I512" s="128" t="s">
        <v>1241</v>
      </c>
      <c r="J512" s="128"/>
      <c r="K512" s="129">
        <v>2</v>
      </c>
      <c r="L512" s="123">
        <v>1367.26</v>
      </c>
      <c r="M512" s="128"/>
      <c r="N512" s="112"/>
      <c r="O512" s="212" t="str">
        <f>IF(VEND[[#This Row],[STATUS]]="O.C",(VEND[[#This Row],[Fecha Recibe
O.C]]+VEND[[#This Row],[Dias
entrega ]]),"")</f>
        <v/>
      </c>
      <c r="P512" s="216"/>
      <c r="Q512" s="129" t="str">
        <f>IFERROR(VEND[[#This Row],[Fecha de Despacho]]-VEND[[#This Row],[Fecha Estimada de Entrega a  Cliente]],"")</f>
        <v/>
      </c>
      <c r="R5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2" s="128" t="str">
        <f>IF(VEND[[#This Row],[STATUS]]="O.C","APROBADO",IF(VEND[[#This Row],[STATUS]]="PERDIDO","PERDIDO",IF(VEND[[#This Row],[STATUS]]="EN ESPERA","EN ESPERA")))</f>
        <v>EN ESPERA</v>
      </c>
      <c r="T512" s="128" t="str">
        <f>IF(VEND[[#This Row],[STATUS]]="O.C","APROBADO",IF(VEND[[#This Row],[STATUS]]="PERDIDO","PERDIDO",IF(VEND[[#This Row],[STATUS]]="EN ESPERA","EN ESPERA")))</f>
        <v>EN ESPERA</v>
      </c>
      <c r="U512" s="112" t="s">
        <v>23</v>
      </c>
      <c r="V512" s="112" t="s">
        <v>23</v>
      </c>
      <c r="W512" s="112" t="s">
        <v>1409</v>
      </c>
      <c r="X512" s="128"/>
    </row>
    <row r="513" spans="2:24" ht="15.75" x14ac:dyDescent="0.25">
      <c r="B513" s="46">
        <v>44336</v>
      </c>
      <c r="C513" s="188" t="str">
        <f>TEXT(VEND[[#This Row],[Fecha de Envío
Cotización]],"mmmm")</f>
        <v>mayo</v>
      </c>
      <c r="D513" s="66" t="s">
        <v>1163</v>
      </c>
      <c r="E513" s="125" t="s">
        <v>88</v>
      </c>
      <c r="F513" s="125" t="str">
        <f>IF(VEND[[#This Row],[STATUS]]="PERDIDO","N/A","En espera")</f>
        <v>En espera</v>
      </c>
      <c r="G513" s="127" t="str">
        <f>TEXT(VEND[[#This Row],[Fecha Recibe
O.C]],"mmmm")</f>
        <v>En espera</v>
      </c>
      <c r="H513" s="112">
        <v>538</v>
      </c>
      <c r="I513" s="128" t="s">
        <v>1241</v>
      </c>
      <c r="J513" s="128"/>
      <c r="K513" s="129">
        <v>1</v>
      </c>
      <c r="L513" s="123">
        <v>2921.88</v>
      </c>
      <c r="M513" s="128"/>
      <c r="N513" s="112"/>
      <c r="O513" s="212" t="str">
        <f>IF(VEND[[#This Row],[STATUS]]="O.C",(VEND[[#This Row],[Fecha Recibe
O.C]]+VEND[[#This Row],[Dias
entrega ]]),"")</f>
        <v/>
      </c>
      <c r="P513" s="216"/>
      <c r="Q513" s="129" t="str">
        <f>IFERROR(VEND[[#This Row],[Fecha de Despacho]]-VEND[[#This Row],[Fecha Estimada de Entrega a  Cliente]],"")</f>
        <v/>
      </c>
      <c r="R5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3" s="128" t="str">
        <f>IF(VEND[[#This Row],[STATUS]]="O.C","APROBADO",IF(VEND[[#This Row],[STATUS]]="PERDIDO","PERDIDO",IF(VEND[[#This Row],[STATUS]]="EN ESPERA","EN ESPERA")))</f>
        <v>EN ESPERA</v>
      </c>
      <c r="T513" s="128" t="str">
        <f>IF(VEND[[#This Row],[STATUS]]="O.C","APROBADO",IF(VEND[[#This Row],[STATUS]]="PERDIDO","PERDIDO",IF(VEND[[#This Row],[STATUS]]="EN ESPERA","EN ESPERA")))</f>
        <v>EN ESPERA</v>
      </c>
      <c r="U513" s="112" t="s">
        <v>23</v>
      </c>
      <c r="V513" s="112" t="s">
        <v>23</v>
      </c>
      <c r="W513" s="112" t="s">
        <v>1409</v>
      </c>
      <c r="X513" s="128"/>
    </row>
    <row r="514" spans="2:24" ht="15.75" x14ac:dyDescent="0.25">
      <c r="B514" s="46">
        <v>44336</v>
      </c>
      <c r="C514" s="188" t="str">
        <f>TEXT(VEND[[#This Row],[Fecha de Envío
Cotización]],"mmmm")</f>
        <v>mayo</v>
      </c>
      <c r="D514" s="66" t="s">
        <v>1163</v>
      </c>
      <c r="E514" s="125" t="s">
        <v>88</v>
      </c>
      <c r="F514" s="125" t="str">
        <f>IF(VEND[[#This Row],[STATUS]]="PERDIDO","N/A","En espera")</f>
        <v>En espera</v>
      </c>
      <c r="G514" s="127" t="str">
        <f>TEXT(VEND[[#This Row],[Fecha Recibe
O.C]],"mmmm")</f>
        <v>En espera</v>
      </c>
      <c r="H514" s="112">
        <v>539</v>
      </c>
      <c r="I514" s="128" t="s">
        <v>1241</v>
      </c>
      <c r="J514" s="128"/>
      <c r="K514" s="129">
        <v>1</v>
      </c>
      <c r="L514" s="123">
        <v>1415.82</v>
      </c>
      <c r="M514" s="128"/>
      <c r="N514" s="112"/>
      <c r="O514" s="212" t="str">
        <f>IF(VEND[[#This Row],[STATUS]]="O.C",(VEND[[#This Row],[Fecha Recibe
O.C]]+VEND[[#This Row],[Dias
entrega ]]),"")</f>
        <v/>
      </c>
      <c r="P514" s="216"/>
      <c r="Q514" s="129" t="str">
        <f>IFERROR(VEND[[#This Row],[Fecha de Despacho]]-VEND[[#This Row],[Fecha Estimada de Entrega a  Cliente]],"")</f>
        <v/>
      </c>
      <c r="R5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4" s="128" t="str">
        <f>IF(VEND[[#This Row],[STATUS]]="O.C","APROBADO",IF(VEND[[#This Row],[STATUS]]="PERDIDO","PERDIDO",IF(VEND[[#This Row],[STATUS]]="EN ESPERA","EN ESPERA")))</f>
        <v>EN ESPERA</v>
      </c>
      <c r="T514" s="128" t="str">
        <f>IF(VEND[[#This Row],[STATUS]]="O.C","APROBADO",IF(VEND[[#This Row],[STATUS]]="PERDIDO","PERDIDO",IF(VEND[[#This Row],[STATUS]]="EN ESPERA","EN ESPERA")))</f>
        <v>EN ESPERA</v>
      </c>
      <c r="U514" s="112" t="s">
        <v>23</v>
      </c>
      <c r="V514" s="112" t="s">
        <v>23</v>
      </c>
      <c r="W514" s="112" t="s">
        <v>1409</v>
      </c>
      <c r="X514" s="128"/>
    </row>
    <row r="515" spans="2:24" ht="15.75" x14ac:dyDescent="0.25">
      <c r="B515" s="46">
        <v>44336</v>
      </c>
      <c r="C515" s="188" t="str">
        <f>TEXT(VEND[[#This Row],[Fecha de Envío
Cotización]],"mmmm")</f>
        <v>mayo</v>
      </c>
      <c r="D515" s="66" t="s">
        <v>1163</v>
      </c>
      <c r="E515" s="125" t="s">
        <v>88</v>
      </c>
      <c r="F515" s="125" t="str">
        <f>IF(VEND[[#This Row],[STATUS]]="PERDIDO","N/A","En espera")</f>
        <v>En espera</v>
      </c>
      <c r="G515" s="127" t="str">
        <f>TEXT(VEND[[#This Row],[Fecha Recibe
O.C]],"mmmm")</f>
        <v>En espera</v>
      </c>
      <c r="H515" s="112">
        <v>540</v>
      </c>
      <c r="I515" s="128" t="s">
        <v>1241</v>
      </c>
      <c r="J515" s="128"/>
      <c r="K515" s="129">
        <v>1</v>
      </c>
      <c r="L515" s="123">
        <v>60</v>
      </c>
      <c r="M515" s="128"/>
      <c r="N515" s="112"/>
      <c r="O515" s="212" t="str">
        <f>IF(VEND[[#This Row],[STATUS]]="O.C",(VEND[[#This Row],[Fecha Recibe
O.C]]+VEND[[#This Row],[Dias
entrega ]]),"")</f>
        <v/>
      </c>
      <c r="P515" s="216"/>
      <c r="Q515" s="129" t="str">
        <f>IFERROR(VEND[[#This Row],[Fecha de Despacho]]-VEND[[#This Row],[Fecha Estimada de Entrega a  Cliente]],"")</f>
        <v/>
      </c>
      <c r="R5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5" s="128" t="str">
        <f>IF(VEND[[#This Row],[STATUS]]="O.C","APROBADO",IF(VEND[[#This Row],[STATUS]]="PERDIDO","PERDIDO",IF(VEND[[#This Row],[STATUS]]="EN ESPERA","EN ESPERA")))</f>
        <v>EN ESPERA</v>
      </c>
      <c r="T515" s="128" t="str">
        <f>IF(VEND[[#This Row],[STATUS]]="O.C","APROBADO",IF(VEND[[#This Row],[STATUS]]="PERDIDO","PERDIDO",IF(VEND[[#This Row],[STATUS]]="EN ESPERA","EN ESPERA")))</f>
        <v>EN ESPERA</v>
      </c>
      <c r="U515" s="112" t="s">
        <v>23</v>
      </c>
      <c r="V515" s="112" t="s">
        <v>23</v>
      </c>
      <c r="W515" s="112" t="s">
        <v>1409</v>
      </c>
      <c r="X515" s="128"/>
    </row>
    <row r="516" spans="2:24" ht="15.75" x14ac:dyDescent="0.25">
      <c r="B516" s="71">
        <v>44336</v>
      </c>
      <c r="C516" s="71" t="str">
        <f>TEXT(VEND[[#This Row],[Fecha de Envío
Cotización]],"mmmm")</f>
        <v>mayo</v>
      </c>
      <c r="D516" s="66" t="s">
        <v>41</v>
      </c>
      <c r="E516" s="125" t="s">
        <v>83</v>
      </c>
      <c r="F516" s="125">
        <v>44337</v>
      </c>
      <c r="G516" s="125" t="str">
        <f>TEXT(VEND[[#This Row],[Fecha Recibe
O.C]],"mmmm")</f>
        <v>mayo</v>
      </c>
      <c r="H516" s="112">
        <v>3524</v>
      </c>
      <c r="I516" s="112" t="s">
        <v>1558</v>
      </c>
      <c r="J516" s="112"/>
      <c r="K516" s="58">
        <v>1</v>
      </c>
      <c r="L516" s="123">
        <v>335</v>
      </c>
      <c r="M516" s="112" t="s">
        <v>73</v>
      </c>
      <c r="N516" s="112">
        <v>14</v>
      </c>
      <c r="O516" s="212">
        <f>IF(VEND[[#This Row],[STATUS]]="O.C",(VEND[[#This Row],[Fecha Recibe
O.C]]+VEND[[#This Row],[Dias
entrega ]]),"")</f>
        <v>44351</v>
      </c>
      <c r="P516" s="212">
        <v>44351</v>
      </c>
      <c r="Q516" s="58">
        <f>IFERROR(VEND[[#This Row],[Fecha de Despacho]]-VEND[[#This Row],[Fecha Estimada de Entrega a  Cliente]],"")</f>
        <v>0</v>
      </c>
      <c r="R5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6" s="112" t="str">
        <f>IF(VEND[[#This Row],[STATUS]]="O.C","APROBADO",IF(VEND[[#This Row],[STATUS]]="PERDIDO","PERDIDO",IF(VEND[[#This Row],[STATUS]]="EN ESPERA","EN ESPERA")))</f>
        <v>APROBADO</v>
      </c>
      <c r="T516" s="112" t="str">
        <f>IF(VEND[[#This Row],[STATUS]]="O.C","APROBADO",IF(VEND[[#This Row],[STATUS]]="PERDIDO","PERDIDO",IF(VEND[[#This Row],[STATUS]]="EN ESPERA","EN ESPERA")))</f>
        <v>APROBADO</v>
      </c>
      <c r="U516" s="112" t="s">
        <v>45</v>
      </c>
      <c r="V516" s="112" t="s">
        <v>46</v>
      </c>
      <c r="W516" s="112" t="s">
        <v>1402</v>
      </c>
      <c r="X516" s="86" t="s">
        <v>1618</v>
      </c>
    </row>
    <row r="517" spans="2:24" ht="15.75" x14ac:dyDescent="0.25">
      <c r="B517" s="71">
        <v>44336</v>
      </c>
      <c r="C517" s="71" t="str">
        <f>TEXT(VEND[[#This Row],[Fecha de Envío
Cotización]],"mmmm")</f>
        <v>mayo</v>
      </c>
      <c r="D517" s="66" t="s">
        <v>945</v>
      </c>
      <c r="E517" s="125" t="s">
        <v>88</v>
      </c>
      <c r="F517" s="125" t="str">
        <f>IF(VEND[[#This Row],[STATUS]]="PERDIDO","N/A","En espera")</f>
        <v>En espera</v>
      </c>
      <c r="G517" s="125" t="str">
        <f>TEXT(VEND[[#This Row],[Fecha Recibe
O.C]],"mmmm")</f>
        <v>En espera</v>
      </c>
      <c r="H517" s="112">
        <v>6037</v>
      </c>
      <c r="I517" s="112" t="s">
        <v>31</v>
      </c>
      <c r="J517" s="112"/>
      <c r="K517" s="58">
        <v>2</v>
      </c>
      <c r="L517" s="123">
        <v>646.08000000000004</v>
      </c>
      <c r="M517" s="112" t="s">
        <v>119</v>
      </c>
      <c r="N517" s="112">
        <v>0</v>
      </c>
      <c r="O517" s="212" t="str">
        <f>IF(VEND[[#This Row],[STATUS]]="O.C",(VEND[[#This Row],[Fecha Recibe
O.C]]+VEND[[#This Row],[Dias
entrega ]]),"")</f>
        <v/>
      </c>
      <c r="P517" s="212"/>
      <c r="Q517" s="58" t="str">
        <f>IFERROR(VEND[[#This Row],[Fecha de Despacho]]-VEND[[#This Row],[Fecha Estimada de Entrega a  Cliente]],"")</f>
        <v/>
      </c>
      <c r="R51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7" s="112" t="str">
        <f>IF(VEND[[#This Row],[STATUS]]="O.C","APROBADO",IF(VEND[[#This Row],[STATUS]]="PERDIDO","PERDIDO",IF(VEND[[#This Row],[STATUS]]="EN ESPERA","EN ESPERA")))</f>
        <v>EN ESPERA</v>
      </c>
      <c r="T517" s="112" t="str">
        <f>IF(VEND[[#This Row],[STATUS]]="O.C","APROBADO",IF(VEND[[#This Row],[STATUS]]="PERDIDO","PERDIDO",IF(VEND[[#This Row],[STATUS]]="EN ESPERA","EN ESPERA")))</f>
        <v>EN ESPERA</v>
      </c>
      <c r="U517" s="112" t="s">
        <v>23</v>
      </c>
      <c r="V517" s="112" t="s">
        <v>23</v>
      </c>
      <c r="W517" s="112" t="s">
        <v>1410</v>
      </c>
      <c r="X517" s="112"/>
    </row>
    <row r="518" spans="2:24" ht="15.75" x14ac:dyDescent="0.25">
      <c r="B518" s="126">
        <v>44337</v>
      </c>
      <c r="C518" s="188" t="str">
        <f>TEXT(VEND[[#This Row],[Fecha de Envío
Cotización]],"mmmm")</f>
        <v>mayo</v>
      </c>
      <c r="D518" s="66" t="s">
        <v>1163</v>
      </c>
      <c r="E518" s="125" t="s">
        <v>88</v>
      </c>
      <c r="F518" s="125" t="str">
        <f>IF(VEND[[#This Row],[STATUS]]="PERDIDO","N/A","En espera")</f>
        <v>En espera</v>
      </c>
      <c r="G518" s="127" t="str">
        <f>TEXT(VEND[[#This Row],[Fecha Recibe
O.C]],"mmmm")</f>
        <v>En espera</v>
      </c>
      <c r="H518" s="128">
        <v>541</v>
      </c>
      <c r="I518" s="112" t="s">
        <v>1241</v>
      </c>
      <c r="J518" s="128"/>
      <c r="K518" s="129">
        <v>1</v>
      </c>
      <c r="L518" s="189">
        <v>6380</v>
      </c>
      <c r="M518" s="128"/>
      <c r="N518" s="112"/>
      <c r="O518" s="212" t="str">
        <f>IF(VEND[[#This Row],[STATUS]]="O.C",(VEND[[#This Row],[Fecha Recibe
O.C]]+VEND[[#This Row],[Dias
entrega ]]),"")</f>
        <v/>
      </c>
      <c r="P518" s="216"/>
      <c r="Q518" s="129" t="str">
        <f>IFERROR(VEND[[#This Row],[Fecha de Despacho]]-VEND[[#This Row],[Fecha Estimada de Entrega a  Cliente]],"")</f>
        <v/>
      </c>
      <c r="R5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8" s="128" t="str">
        <f>IF(VEND[[#This Row],[STATUS]]="O.C","APROBADO",IF(VEND[[#This Row],[STATUS]]="PERDIDO","PERDIDO",IF(VEND[[#This Row],[STATUS]]="EN ESPERA","EN ESPERA")))</f>
        <v>EN ESPERA</v>
      </c>
      <c r="T518" s="128" t="str">
        <f>IF(VEND[[#This Row],[STATUS]]="O.C","APROBADO",IF(VEND[[#This Row],[STATUS]]="PERDIDO","PERDIDO",IF(VEND[[#This Row],[STATUS]]="EN ESPERA","EN ESPERA")))</f>
        <v>EN ESPERA</v>
      </c>
      <c r="U518" s="112" t="s">
        <v>23</v>
      </c>
      <c r="V518" s="112" t="s">
        <v>23</v>
      </c>
      <c r="W518" s="112" t="s">
        <v>1409</v>
      </c>
      <c r="X518" s="128"/>
    </row>
    <row r="519" spans="2:24" ht="15.75" x14ac:dyDescent="0.25">
      <c r="B519" s="236">
        <v>44337</v>
      </c>
      <c r="C519" s="188" t="str">
        <f>TEXT(VEND[[#This Row],[Fecha de Envío
Cotización]],"mmmm")</f>
        <v>mayo</v>
      </c>
      <c r="D519" s="66" t="s">
        <v>1163</v>
      </c>
      <c r="E519" s="125" t="s">
        <v>83</v>
      </c>
      <c r="F519" s="125">
        <v>44342</v>
      </c>
      <c r="G519" s="127" t="str">
        <f>TEXT(VEND[[#This Row],[Fecha Recibe
O.C]],"mmmm")</f>
        <v>mayo</v>
      </c>
      <c r="H519" s="112">
        <v>542</v>
      </c>
      <c r="I519" s="128" t="s">
        <v>1241</v>
      </c>
      <c r="J519" s="128"/>
      <c r="K519" s="129">
        <v>1</v>
      </c>
      <c r="L519" s="123">
        <v>251.24</v>
      </c>
      <c r="M519" s="128"/>
      <c r="N519" s="112"/>
      <c r="O519" s="216">
        <f>IF(VEND[[#This Row],[STATUS]]="O.C",(VEND[[#This Row],[Fecha Recibe
O.C]]+VEND[[#This Row],[Dias
entrega ]]),"")</f>
        <v>44342</v>
      </c>
      <c r="P519" s="216"/>
      <c r="Q519" s="129">
        <f>IFERROR(VEND[[#This Row],[Fecha de Despacho]]-VEND[[#This Row],[Fecha Estimada de Entrega a  Cliente]],"")</f>
        <v>-44342</v>
      </c>
      <c r="R51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19" s="128" t="str">
        <f>IF(VEND[[#This Row],[STATUS]]="O.C","APROBADO",IF(VEND[[#This Row],[STATUS]]="PERDIDO","PERDIDO",IF(VEND[[#This Row],[STATUS]]="EN ESPERA","EN ESPERA")))</f>
        <v>APROBADO</v>
      </c>
      <c r="T519" s="128" t="str">
        <f>IF(VEND[[#This Row],[STATUS]]="O.C","APROBADO",IF(VEND[[#This Row],[STATUS]]="PERDIDO","PERDIDO",IF(VEND[[#This Row],[STATUS]]="EN ESPERA","EN ESPERA")))</f>
        <v>APROBADO</v>
      </c>
      <c r="U519" s="112" t="s">
        <v>23</v>
      </c>
      <c r="V519" s="112" t="s">
        <v>23</v>
      </c>
      <c r="W519" s="112" t="s">
        <v>1409</v>
      </c>
      <c r="X519" s="128" t="s">
        <v>2436</v>
      </c>
    </row>
    <row r="520" spans="2:24" ht="15.75" x14ac:dyDescent="0.25">
      <c r="B520" s="71">
        <v>44337</v>
      </c>
      <c r="C520" s="71" t="str">
        <f>TEXT(VEND[[#This Row],[Fecha de Envío
Cotización]],"mmmm")</f>
        <v>mayo</v>
      </c>
      <c r="D520" s="66" t="s">
        <v>50</v>
      </c>
      <c r="E520" s="125" t="s">
        <v>88</v>
      </c>
      <c r="F520" s="125" t="str">
        <f>IF(VEND[[#This Row],[STATUS]]="PERDIDO","N/A","En espera")</f>
        <v>En espera</v>
      </c>
      <c r="G520" s="125" t="str">
        <f>TEXT(VEND[[#This Row],[Fecha Recibe
O.C]],"mmmm")</f>
        <v>En espera</v>
      </c>
      <c r="H520" s="112">
        <v>543</v>
      </c>
      <c r="I520" s="112" t="s">
        <v>116</v>
      </c>
      <c r="J520" s="112"/>
      <c r="K520" s="58">
        <v>4</v>
      </c>
      <c r="L520" s="123">
        <v>2750.27</v>
      </c>
      <c r="M520" s="112" t="s">
        <v>119</v>
      </c>
      <c r="N520" s="112">
        <v>0</v>
      </c>
      <c r="O520" s="212" t="str">
        <f>IF(VEND[[#This Row],[STATUS]]="O.C",(VEND[[#This Row],[Fecha Recibe
O.C]]+VEND[[#This Row],[Dias
entrega ]]),"")</f>
        <v/>
      </c>
      <c r="P520" s="212"/>
      <c r="Q520" s="58" t="str">
        <f>IFERROR(VEND[[#This Row],[Fecha de Despacho]]-VEND[[#This Row],[Fecha Estimada de Entrega a  Cliente]],"")</f>
        <v/>
      </c>
      <c r="R52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0" s="112" t="str">
        <f>IF(VEND[[#This Row],[STATUS]]="O.C","APROBADO",IF(VEND[[#This Row],[STATUS]]="PERDIDO","PERDIDO",IF(VEND[[#This Row],[STATUS]]="EN ESPERA","EN ESPERA")))</f>
        <v>EN ESPERA</v>
      </c>
      <c r="T520" s="112" t="str">
        <f>IF(VEND[[#This Row],[STATUS]]="O.C","APROBADO",IF(VEND[[#This Row],[STATUS]]="PERDIDO","PERDIDO",IF(VEND[[#This Row],[STATUS]]="EN ESPERA","EN ESPERA")))</f>
        <v>EN ESPERA</v>
      </c>
      <c r="U520" s="112" t="s">
        <v>23</v>
      </c>
      <c r="V520" s="112" t="s">
        <v>23</v>
      </c>
      <c r="W520" s="112" t="s">
        <v>1401</v>
      </c>
      <c r="X520" s="112"/>
    </row>
    <row r="521" spans="2:24" ht="15.75" x14ac:dyDescent="0.25">
      <c r="B521" s="126">
        <v>44337</v>
      </c>
      <c r="C521" s="188" t="str">
        <f>TEXT(VEND[[#This Row],[Fecha de Envío
Cotización]],"mmmm")</f>
        <v>mayo</v>
      </c>
      <c r="D521" s="66" t="s">
        <v>50</v>
      </c>
      <c r="E521" s="190" t="s">
        <v>83</v>
      </c>
      <c r="F521" s="125">
        <v>44365</v>
      </c>
      <c r="G521" s="127" t="str">
        <f>TEXT(VEND[[#This Row],[Fecha Recibe
O.C]],"mmmm")</f>
        <v>junio</v>
      </c>
      <c r="H521" s="128">
        <v>581</v>
      </c>
      <c r="I521" s="112" t="s">
        <v>283</v>
      </c>
      <c r="J521" s="128"/>
      <c r="K521" s="129">
        <v>2</v>
      </c>
      <c r="L521" s="189">
        <v>905.76</v>
      </c>
      <c r="M521" s="112" t="s">
        <v>51</v>
      </c>
      <c r="N521" s="112">
        <v>21</v>
      </c>
      <c r="O521" s="212">
        <f>IF(VEND[[#This Row],[STATUS]]="O.C",(VEND[[#This Row],[Fecha Recibe
O.C]]+VEND[[#This Row],[Dias
entrega ]]),"")</f>
        <v>44386</v>
      </c>
      <c r="P521" s="216"/>
      <c r="Q521" s="129">
        <f>IFERROR(VEND[[#This Row],[Fecha de Despacho]]-VEND[[#This Row],[Fecha Estimada de Entrega a  Cliente]],"")</f>
        <v>-44386</v>
      </c>
      <c r="R52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1" s="128" t="str">
        <f>IF(VEND[[#This Row],[STATUS]]="O.C","APROBADO",IF(VEND[[#This Row],[STATUS]]="PERDIDO","PERDIDO",IF(VEND[[#This Row],[STATUS]]="EN ESPERA","EN ESPERA")))</f>
        <v>APROBADO</v>
      </c>
      <c r="T521" s="128" t="str">
        <f>IF(VEND[[#This Row],[STATUS]]="O.C","APROBADO",IF(VEND[[#This Row],[STATUS]]="PERDIDO","PERDIDO",IF(VEND[[#This Row],[STATUS]]="EN ESPERA","EN ESPERA")))</f>
        <v>APROBADO</v>
      </c>
      <c r="U521" s="112" t="s">
        <v>46</v>
      </c>
      <c r="V521" s="112" t="s">
        <v>46</v>
      </c>
      <c r="W521" s="112" t="s">
        <v>1402</v>
      </c>
      <c r="X521" s="128" t="s">
        <v>2271</v>
      </c>
    </row>
    <row r="522" spans="2:24" ht="15.75" x14ac:dyDescent="0.25">
      <c r="B522" s="126">
        <v>44337</v>
      </c>
      <c r="C522" s="188" t="str">
        <f>TEXT(VEND[[#This Row],[Fecha de Envío
Cotización]],"mmmm")</f>
        <v>mayo</v>
      </c>
      <c r="D522" s="66" t="s">
        <v>945</v>
      </c>
      <c r="E522" s="190" t="s">
        <v>83</v>
      </c>
      <c r="F522" s="127">
        <v>44348</v>
      </c>
      <c r="G522" s="127" t="str">
        <f>TEXT(VEND[[#This Row],[Fecha Recibe
O.C]],"mmmm")</f>
        <v>junio</v>
      </c>
      <c r="H522" s="128">
        <v>7777</v>
      </c>
      <c r="I522" s="112" t="s">
        <v>130</v>
      </c>
      <c r="J522" s="128"/>
      <c r="K522" s="129">
        <v>19</v>
      </c>
      <c r="L522" s="189">
        <v>2134.3000000000002</v>
      </c>
      <c r="M522" s="61" t="s">
        <v>36</v>
      </c>
      <c r="N522" s="112">
        <v>35</v>
      </c>
      <c r="O522" s="212">
        <f>IF(VEND[[#This Row],[STATUS]]="O.C",(VEND[[#This Row],[Fecha Recibe
O.C]]+VEND[[#This Row],[Dias
entrega ]]),"")</f>
        <v>44383</v>
      </c>
      <c r="P522" s="216"/>
      <c r="Q522" s="129">
        <f>IFERROR(VEND[[#This Row],[Fecha de Despacho]]-VEND[[#This Row],[Fecha Estimada de Entrega a  Cliente]],"")</f>
        <v>-44383</v>
      </c>
      <c r="R52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2" s="128" t="str">
        <f>IF(VEND[[#This Row],[STATUS]]="O.C","APROBADO",IF(VEND[[#This Row],[STATUS]]="PERDIDO","PERDIDO",IF(VEND[[#This Row],[STATUS]]="EN ESPERA","EN ESPERA")))</f>
        <v>APROBADO</v>
      </c>
      <c r="T522" s="128" t="str">
        <f>IF(VEND[[#This Row],[STATUS]]="O.C","APROBADO",IF(VEND[[#This Row],[STATUS]]="PERDIDO","PERDIDO",IF(VEND[[#This Row],[STATUS]]="EN ESPERA","EN ESPERA")))</f>
        <v>APROBADO</v>
      </c>
      <c r="U522" s="112" t="s">
        <v>46</v>
      </c>
      <c r="V522" s="112" t="s">
        <v>46</v>
      </c>
      <c r="W522" s="112" t="s">
        <v>1402</v>
      </c>
      <c r="X522" s="112" t="s">
        <v>1878</v>
      </c>
    </row>
    <row r="523" spans="2:24" ht="15.75" x14ac:dyDescent="0.25">
      <c r="B523" s="126">
        <v>44340</v>
      </c>
      <c r="C523" s="188" t="str">
        <f>TEXT(VEND[[#This Row],[Fecha de Envío
Cotización]],"mmmm")</f>
        <v>mayo</v>
      </c>
      <c r="D523" s="66" t="s">
        <v>50</v>
      </c>
      <c r="E523" s="190" t="s">
        <v>88</v>
      </c>
      <c r="F523" s="125" t="str">
        <f>IF(VEND[[#This Row],[STATUS]]="PERDIDO","N/A","En espera")</f>
        <v>En espera</v>
      </c>
      <c r="G523" s="127" t="str">
        <f>TEXT(VEND[[#This Row],[Fecha Recibe
O.C]],"mmmm")</f>
        <v>En espera</v>
      </c>
      <c r="H523" s="128">
        <v>584</v>
      </c>
      <c r="I523" s="128" t="s">
        <v>1690</v>
      </c>
      <c r="J523" s="191"/>
      <c r="K523" s="129">
        <v>1</v>
      </c>
      <c r="L523" s="189">
        <v>3415.5</v>
      </c>
      <c r="M523" s="112" t="s">
        <v>36</v>
      </c>
      <c r="N523" s="112">
        <v>28</v>
      </c>
      <c r="O523" s="212" t="str">
        <f>IF(VEND[[#This Row],[STATUS]]="O.C",(VEND[[#This Row],[Fecha Recibe
O.C]]+VEND[[#This Row],[Dias
entrega ]]),"")</f>
        <v/>
      </c>
      <c r="P523" s="216"/>
      <c r="Q523" s="129" t="str">
        <f>IFERROR(VEND[[#This Row],[Fecha de Despacho]]-VEND[[#This Row],[Fecha Estimada de Entrega a  Cliente]],"")</f>
        <v/>
      </c>
      <c r="R52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3" s="128" t="str">
        <f>IF(VEND[[#This Row],[STATUS]]="O.C","APROBADO",IF(VEND[[#This Row],[STATUS]]="PERDIDO","PERDIDO",IF(VEND[[#This Row],[STATUS]]="EN ESPERA","EN ESPERA")))</f>
        <v>EN ESPERA</v>
      </c>
      <c r="T523" s="128" t="str">
        <f>IF(VEND[[#This Row],[STATUS]]="O.C","APROBADO",IF(VEND[[#This Row],[STATUS]]="PERDIDO","PERDIDO",IF(VEND[[#This Row],[STATUS]]="EN ESPERA","EN ESPERA")))</f>
        <v>EN ESPERA</v>
      </c>
      <c r="U523" s="112" t="s">
        <v>23</v>
      </c>
      <c r="V523" s="112" t="s">
        <v>23</v>
      </c>
      <c r="W523" s="112" t="s">
        <v>1406</v>
      </c>
      <c r="X523" s="128"/>
    </row>
    <row r="524" spans="2:24" ht="15.75" x14ac:dyDescent="0.25">
      <c r="B524" s="126">
        <v>44340</v>
      </c>
      <c r="C524" s="188" t="str">
        <f>TEXT(VEND[[#This Row],[Fecha de Envío
Cotización]],"mmmm")</f>
        <v>mayo</v>
      </c>
      <c r="D524" s="66" t="s">
        <v>68</v>
      </c>
      <c r="E524" s="190" t="s">
        <v>88</v>
      </c>
      <c r="F524" s="125" t="str">
        <f>IF(VEND[[#This Row],[STATUS]]="PERDIDO","N/A","En espera")</f>
        <v>En espera</v>
      </c>
      <c r="G524" s="127" t="str">
        <f>TEXT(VEND[[#This Row],[Fecha Recibe
O.C]],"mmmm")</f>
        <v>En espera</v>
      </c>
      <c r="H524" s="128">
        <v>585</v>
      </c>
      <c r="I524" s="128" t="s">
        <v>1683</v>
      </c>
      <c r="J524" s="191"/>
      <c r="K524" s="129">
        <v>6</v>
      </c>
      <c r="L524" s="189">
        <v>845.12</v>
      </c>
      <c r="M524" s="112" t="s">
        <v>22</v>
      </c>
      <c r="N524" s="112">
        <v>0</v>
      </c>
      <c r="O524" s="212" t="str">
        <f>IF(VEND[[#This Row],[STATUS]]="O.C",(VEND[[#This Row],[Fecha Recibe
O.C]]+VEND[[#This Row],[Dias
entrega ]]),"")</f>
        <v/>
      </c>
      <c r="P524" s="216"/>
      <c r="Q524" s="129" t="str">
        <f>IFERROR(VEND[[#This Row],[Fecha de Despacho]]-VEND[[#This Row],[Fecha Estimada de Entrega a  Cliente]],"")</f>
        <v/>
      </c>
      <c r="R52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4" s="128" t="str">
        <f>IF(VEND[[#This Row],[STATUS]]="O.C","APROBADO",IF(VEND[[#This Row],[STATUS]]="PERDIDO","PERDIDO",IF(VEND[[#This Row],[STATUS]]="EN ESPERA","EN ESPERA")))</f>
        <v>EN ESPERA</v>
      </c>
      <c r="T524" s="128" t="str">
        <f>IF(VEND[[#This Row],[STATUS]]="O.C","APROBADO",IF(VEND[[#This Row],[STATUS]]="PERDIDO","PERDIDO",IF(VEND[[#This Row],[STATUS]]="EN ESPERA","EN ESPERA")))</f>
        <v>EN ESPERA</v>
      </c>
      <c r="U524" s="112" t="s">
        <v>23</v>
      </c>
      <c r="V524" s="112" t="s">
        <v>23</v>
      </c>
      <c r="W524" s="112" t="s">
        <v>1405</v>
      </c>
      <c r="X524" s="128"/>
    </row>
    <row r="525" spans="2:24" ht="15.75" x14ac:dyDescent="0.25">
      <c r="B525" s="126">
        <v>44340</v>
      </c>
      <c r="C525" s="188" t="str">
        <f>TEXT(VEND[[#This Row],[Fecha de Envío
Cotización]],"mmmm")</f>
        <v>mayo</v>
      </c>
      <c r="D525" s="66" t="s">
        <v>50</v>
      </c>
      <c r="E525" s="190" t="s">
        <v>88</v>
      </c>
      <c r="F525" s="125" t="str">
        <f>IF(VEND[[#This Row],[STATUS]]="PERDIDO","N/A","En espera")</f>
        <v>En espera</v>
      </c>
      <c r="G525" s="127" t="str">
        <f>TEXT(VEND[[#This Row],[Fecha Recibe
O.C]],"mmmm")</f>
        <v>En espera</v>
      </c>
      <c r="H525" s="128">
        <v>601</v>
      </c>
      <c r="I525" s="112" t="s">
        <v>1109</v>
      </c>
      <c r="J525" s="128"/>
      <c r="K525" s="129">
        <v>2</v>
      </c>
      <c r="L525" s="189">
        <v>301.8</v>
      </c>
      <c r="M525" s="58" t="s">
        <v>16</v>
      </c>
      <c r="N525" s="112">
        <v>21</v>
      </c>
      <c r="O525" s="212" t="str">
        <f>IF(VEND[[#This Row],[STATUS]]="O.C",(VEND[[#This Row],[Fecha Recibe
O.C]]+VEND[[#This Row],[Dias
entrega ]]),"")</f>
        <v/>
      </c>
      <c r="P525" s="216"/>
      <c r="Q525" s="129" t="str">
        <f>IFERROR(VEND[[#This Row],[Fecha de Despacho]]-VEND[[#This Row],[Fecha Estimada de Entrega a  Cliente]],"")</f>
        <v/>
      </c>
      <c r="R52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5" s="128" t="str">
        <f>IF(VEND[[#This Row],[STATUS]]="O.C","APROBADO",IF(VEND[[#This Row],[STATUS]]="PERDIDO","PERDIDO",IF(VEND[[#This Row],[STATUS]]="EN ESPERA","EN ESPERA")))</f>
        <v>EN ESPERA</v>
      </c>
      <c r="T525" s="128" t="str">
        <f>IF(VEND[[#This Row],[STATUS]]="O.C","APROBADO",IF(VEND[[#This Row],[STATUS]]="PERDIDO","PERDIDO",IF(VEND[[#This Row],[STATUS]]="EN ESPERA","EN ESPERA")))</f>
        <v>EN ESPERA</v>
      </c>
      <c r="U525" s="112" t="s">
        <v>23</v>
      </c>
      <c r="V525" s="112" t="s">
        <v>23</v>
      </c>
      <c r="W525" s="112" t="s">
        <v>1401</v>
      </c>
      <c r="X525" s="128"/>
    </row>
    <row r="526" spans="2:24" s="105" customFormat="1" ht="15.75" x14ac:dyDescent="0.25">
      <c r="B526" s="126">
        <v>44340</v>
      </c>
      <c r="C526" s="188" t="str">
        <f>TEXT(VEND[[#This Row],[Fecha de Envío
Cotización]],"mmmm")</f>
        <v>mayo</v>
      </c>
      <c r="D526" s="66" t="s">
        <v>1163</v>
      </c>
      <c r="E526" s="190" t="s">
        <v>88</v>
      </c>
      <c r="F526" s="125" t="str">
        <f>IF(VEND[[#This Row],[STATUS]]="PERDIDO","N/A","En espera")</f>
        <v>En espera</v>
      </c>
      <c r="G526" s="127" t="str">
        <f>TEXT(VEND[[#This Row],[Fecha Recibe
O.C]],"mmmm")</f>
        <v>En espera</v>
      </c>
      <c r="H526" s="128">
        <v>604</v>
      </c>
      <c r="I526" s="112" t="s">
        <v>1241</v>
      </c>
      <c r="J526" s="128"/>
      <c r="K526" s="129">
        <v>1</v>
      </c>
      <c r="L526" s="189">
        <v>539.55999999999995</v>
      </c>
      <c r="M526" s="128"/>
      <c r="N526" s="112"/>
      <c r="O526" s="212" t="str">
        <f>IF(VEND[[#This Row],[STATUS]]="O.C",(VEND[[#This Row],[Fecha Recibe
O.C]]+VEND[[#This Row],[Dias
entrega ]]),"")</f>
        <v/>
      </c>
      <c r="P526" s="216"/>
      <c r="Q526" s="129" t="str">
        <f>IFERROR(VEND[[#This Row],[Fecha de Despacho]]-VEND[[#This Row],[Fecha Estimada de Entrega a  Cliente]],"")</f>
        <v/>
      </c>
      <c r="R52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6" s="128" t="str">
        <f>IF(VEND[[#This Row],[STATUS]]="O.C","APROBADO",IF(VEND[[#This Row],[STATUS]]="PERDIDO","PERDIDO",IF(VEND[[#This Row],[STATUS]]="EN ESPERA","EN ESPERA")))</f>
        <v>EN ESPERA</v>
      </c>
      <c r="T526" s="128" t="str">
        <f>IF(VEND[[#This Row],[STATUS]]="O.C","APROBADO",IF(VEND[[#This Row],[STATUS]]="PERDIDO","PERDIDO",IF(VEND[[#This Row],[STATUS]]="EN ESPERA","EN ESPERA")))</f>
        <v>EN ESPERA</v>
      </c>
      <c r="U526" s="112" t="s">
        <v>23</v>
      </c>
      <c r="V526" s="112" t="s">
        <v>23</v>
      </c>
      <c r="W526" s="112" t="s">
        <v>1409</v>
      </c>
      <c r="X526" s="128"/>
    </row>
    <row r="527" spans="2:24" s="105" customFormat="1" ht="15.75" x14ac:dyDescent="0.25">
      <c r="B527" s="126">
        <v>44340</v>
      </c>
      <c r="C527" s="188" t="str">
        <f>TEXT(VEND[[#This Row],[Fecha de Envío
Cotización]],"mmmm")</f>
        <v>mayo</v>
      </c>
      <c r="D527" s="66" t="s">
        <v>1163</v>
      </c>
      <c r="E527" s="190" t="s">
        <v>88</v>
      </c>
      <c r="F527" s="125" t="str">
        <f>IF(VEND[[#This Row],[STATUS]]="PERDIDO","N/A","En espera")</f>
        <v>En espera</v>
      </c>
      <c r="G527" s="127" t="str">
        <f>TEXT(VEND[[#This Row],[Fecha Recibe
O.C]],"mmmm")</f>
        <v>En espera</v>
      </c>
      <c r="H527" s="128">
        <v>613</v>
      </c>
      <c r="I527" s="112" t="s">
        <v>1241</v>
      </c>
      <c r="J527" s="128"/>
      <c r="K527" s="129">
        <v>1</v>
      </c>
      <c r="L527" s="189">
        <v>280.04000000000002</v>
      </c>
      <c r="M527" s="128"/>
      <c r="N527" s="112"/>
      <c r="O527" s="212" t="str">
        <f>IF(VEND[[#This Row],[STATUS]]="O.C",(VEND[[#This Row],[Fecha Recibe
O.C]]+VEND[[#This Row],[Dias
entrega ]]),"")</f>
        <v/>
      </c>
      <c r="P527" s="216"/>
      <c r="Q527" s="129" t="str">
        <f>IFERROR(VEND[[#This Row],[Fecha de Despacho]]-VEND[[#This Row],[Fecha Estimada de Entrega a  Cliente]],"")</f>
        <v/>
      </c>
      <c r="R52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7" s="128" t="str">
        <f>IF(VEND[[#This Row],[STATUS]]="O.C","APROBADO",IF(VEND[[#This Row],[STATUS]]="PERDIDO","PERDIDO",IF(VEND[[#This Row],[STATUS]]="EN ESPERA","EN ESPERA")))</f>
        <v>EN ESPERA</v>
      </c>
      <c r="T527" s="128" t="str">
        <f>IF(VEND[[#This Row],[STATUS]]="O.C","APROBADO",IF(VEND[[#This Row],[STATUS]]="PERDIDO","PERDIDO",IF(VEND[[#This Row],[STATUS]]="EN ESPERA","EN ESPERA")))</f>
        <v>EN ESPERA</v>
      </c>
      <c r="U527" s="112" t="s">
        <v>23</v>
      </c>
      <c r="V527" s="112" t="s">
        <v>23</v>
      </c>
      <c r="W527" s="112" t="s">
        <v>1409</v>
      </c>
      <c r="X527" s="128"/>
    </row>
    <row r="528" spans="2:24" s="105" customFormat="1" ht="15.75" x14ac:dyDescent="0.25">
      <c r="B528" s="126">
        <v>44340</v>
      </c>
      <c r="C528" s="188" t="str">
        <f>TEXT(VEND[[#This Row],[Fecha de Envío
Cotización]],"mmmm")</f>
        <v>mayo</v>
      </c>
      <c r="D528" s="66" t="s">
        <v>1163</v>
      </c>
      <c r="E528" s="190" t="s">
        <v>88</v>
      </c>
      <c r="F528" s="125" t="str">
        <f>IF(VEND[[#This Row],[STATUS]]="PERDIDO","N/A","En espera")</f>
        <v>En espera</v>
      </c>
      <c r="G528" s="127" t="str">
        <f>TEXT(VEND[[#This Row],[Fecha Recibe
O.C]],"mmmm")</f>
        <v>En espera</v>
      </c>
      <c r="H528" s="128">
        <v>617</v>
      </c>
      <c r="I528" s="112" t="s">
        <v>1241</v>
      </c>
      <c r="J528" s="128"/>
      <c r="K528" s="129">
        <v>1</v>
      </c>
      <c r="L528" s="189">
        <v>416.9</v>
      </c>
      <c r="M528" s="112"/>
      <c r="N528" s="112"/>
      <c r="O528" s="212" t="str">
        <f>IF(VEND[[#This Row],[STATUS]]="O.C",(VEND[[#This Row],[Fecha Recibe
O.C]]+VEND[[#This Row],[Dias
entrega ]]),"")</f>
        <v/>
      </c>
      <c r="P528" s="216"/>
      <c r="Q528" s="129" t="str">
        <f>IFERROR(VEND[[#This Row],[Fecha de Despacho]]-VEND[[#This Row],[Fecha Estimada de Entrega a  Cliente]],"")</f>
        <v/>
      </c>
      <c r="R52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8" s="128" t="str">
        <f>IF(VEND[[#This Row],[STATUS]]="O.C","APROBADO",IF(VEND[[#This Row],[STATUS]]="PERDIDO","PERDIDO",IF(VEND[[#This Row],[STATUS]]="EN ESPERA","EN ESPERA")))</f>
        <v>EN ESPERA</v>
      </c>
      <c r="T528" s="128" t="str">
        <f>IF(VEND[[#This Row],[STATUS]]="O.C","APROBADO",IF(VEND[[#This Row],[STATUS]]="PERDIDO","PERDIDO",IF(VEND[[#This Row],[STATUS]]="EN ESPERA","EN ESPERA")))</f>
        <v>EN ESPERA</v>
      </c>
      <c r="U528" s="112" t="s">
        <v>23</v>
      </c>
      <c r="V528" s="112" t="s">
        <v>23</v>
      </c>
      <c r="W528" s="112" t="s">
        <v>1409</v>
      </c>
      <c r="X528" s="128"/>
    </row>
    <row r="529" spans="2:24" s="105" customFormat="1" ht="15.75" x14ac:dyDescent="0.25">
      <c r="B529" s="126">
        <v>44340</v>
      </c>
      <c r="C529" s="188" t="str">
        <f>TEXT(VEND[[#This Row],[Fecha de Envío
Cotización]],"mmmm")</f>
        <v>mayo</v>
      </c>
      <c r="D529" s="66" t="s">
        <v>50</v>
      </c>
      <c r="E529" s="190" t="s">
        <v>88</v>
      </c>
      <c r="F529" s="125" t="str">
        <f>IF(VEND[[#This Row],[STATUS]]="PERDIDO","N/A","En espera")</f>
        <v>En espera</v>
      </c>
      <c r="G529" s="127" t="str">
        <f>TEXT(VEND[[#This Row],[Fecha Recibe
O.C]],"mmmm")</f>
        <v>En espera</v>
      </c>
      <c r="H529" s="128">
        <v>619</v>
      </c>
      <c r="I529" s="112" t="s">
        <v>33</v>
      </c>
      <c r="J529" s="128"/>
      <c r="K529" s="129">
        <v>1</v>
      </c>
      <c r="L529" s="189">
        <v>253.43</v>
      </c>
      <c r="M529" s="112" t="s">
        <v>36</v>
      </c>
      <c r="N529" s="112">
        <v>28</v>
      </c>
      <c r="O529" s="212" t="str">
        <f>IF(VEND[[#This Row],[STATUS]]="O.C",(VEND[[#This Row],[Fecha Recibe
O.C]]+VEND[[#This Row],[Dias
entrega ]]),"")</f>
        <v/>
      </c>
      <c r="P529" s="216"/>
      <c r="Q529" s="129" t="str">
        <f>IFERROR(VEND[[#This Row],[Fecha de Despacho]]-VEND[[#This Row],[Fecha Estimada de Entrega a  Cliente]],"")</f>
        <v/>
      </c>
      <c r="R5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29" s="128" t="str">
        <f>IF(VEND[[#This Row],[STATUS]]="O.C","APROBADO",IF(VEND[[#This Row],[STATUS]]="PERDIDO","PERDIDO",IF(VEND[[#This Row],[STATUS]]="EN ESPERA","EN ESPERA")))</f>
        <v>EN ESPERA</v>
      </c>
      <c r="T529" s="128" t="str">
        <f>IF(VEND[[#This Row],[STATUS]]="O.C","APROBADO",IF(VEND[[#This Row],[STATUS]]="PERDIDO","PERDIDO",IF(VEND[[#This Row],[STATUS]]="EN ESPERA","EN ESPERA")))</f>
        <v>EN ESPERA</v>
      </c>
      <c r="U529" s="112" t="s">
        <v>23</v>
      </c>
      <c r="V529" s="112" t="s">
        <v>23</v>
      </c>
      <c r="W529" s="112" t="s">
        <v>1402</v>
      </c>
      <c r="X529" s="128"/>
    </row>
    <row r="530" spans="2:24" s="105" customFormat="1" ht="15.75" x14ac:dyDescent="0.25">
      <c r="B530" s="126">
        <v>44340</v>
      </c>
      <c r="C530" s="188" t="str">
        <f>TEXT(VEND[[#This Row],[Fecha de Envío
Cotización]],"mmmm")</f>
        <v>mayo</v>
      </c>
      <c r="D530" s="66" t="s">
        <v>1163</v>
      </c>
      <c r="E530" s="190" t="s">
        <v>88</v>
      </c>
      <c r="F530" s="125" t="str">
        <f>IF(VEND[[#This Row],[STATUS]]="PERDIDO","N/A","En espera")</f>
        <v>En espera</v>
      </c>
      <c r="G530" s="127" t="str">
        <f>TEXT(VEND[[#This Row],[Fecha Recibe
O.C]],"mmmm")</f>
        <v>En espera</v>
      </c>
      <c r="H530" s="128">
        <v>622</v>
      </c>
      <c r="I530" s="112" t="s">
        <v>1241</v>
      </c>
      <c r="J530" s="128"/>
      <c r="K530" s="129">
        <v>1</v>
      </c>
      <c r="L530" s="189">
        <v>714.22</v>
      </c>
      <c r="M530" s="112"/>
      <c r="N530" s="112"/>
      <c r="O530" s="212" t="str">
        <f>IF(VEND[[#This Row],[STATUS]]="O.C",(VEND[[#This Row],[Fecha Recibe
O.C]]+VEND[[#This Row],[Dias
entrega ]]),"")</f>
        <v/>
      </c>
      <c r="P530" s="216"/>
      <c r="Q530" s="129" t="str">
        <f>IFERROR(VEND[[#This Row],[Fecha de Despacho]]-VEND[[#This Row],[Fecha Estimada de Entrega a  Cliente]],"")</f>
        <v/>
      </c>
      <c r="R53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0" s="128" t="str">
        <f>IF(VEND[[#This Row],[STATUS]]="O.C","APROBADO",IF(VEND[[#This Row],[STATUS]]="PERDIDO","PERDIDO",IF(VEND[[#This Row],[STATUS]]="EN ESPERA","EN ESPERA")))</f>
        <v>EN ESPERA</v>
      </c>
      <c r="T530" s="128" t="str">
        <f>IF(VEND[[#This Row],[STATUS]]="O.C","APROBADO",IF(VEND[[#This Row],[STATUS]]="PERDIDO","PERDIDO",IF(VEND[[#This Row],[STATUS]]="EN ESPERA","EN ESPERA")))</f>
        <v>EN ESPERA</v>
      </c>
      <c r="U530" s="112" t="s">
        <v>23</v>
      </c>
      <c r="V530" s="112" t="s">
        <v>23</v>
      </c>
      <c r="W530" s="112" t="s">
        <v>1409</v>
      </c>
      <c r="X530" s="128"/>
    </row>
    <row r="531" spans="2:24" ht="15.75" x14ac:dyDescent="0.25">
      <c r="B531" s="126">
        <v>44340</v>
      </c>
      <c r="C531" s="188" t="str">
        <f>TEXT(VEND[[#This Row],[Fecha de Envío
Cotización]],"mmmm")</f>
        <v>mayo</v>
      </c>
      <c r="D531" s="66" t="s">
        <v>50</v>
      </c>
      <c r="E531" s="190" t="s">
        <v>88</v>
      </c>
      <c r="F531" s="125" t="str">
        <f>IF(VEND[[#This Row],[STATUS]]="PERDIDO","N/A","En espera")</f>
        <v>En espera</v>
      </c>
      <c r="G531" s="127" t="str">
        <f>TEXT(VEND[[#This Row],[Fecha Recibe
O.C]],"mmmm")</f>
        <v>En espera</v>
      </c>
      <c r="H531" s="128">
        <v>623</v>
      </c>
      <c r="I531" s="112" t="s">
        <v>283</v>
      </c>
      <c r="J531" s="128"/>
      <c r="K531" s="129">
        <v>2</v>
      </c>
      <c r="L531" s="189">
        <v>2504.08</v>
      </c>
      <c r="M531" s="112" t="s">
        <v>22</v>
      </c>
      <c r="N531" s="112">
        <v>0</v>
      </c>
      <c r="O531" s="212" t="str">
        <f>IF(VEND[[#This Row],[STATUS]]="O.C",(VEND[[#This Row],[Fecha Recibe
O.C]]+VEND[[#This Row],[Dias
entrega ]]),"")</f>
        <v/>
      </c>
      <c r="P531" s="216"/>
      <c r="Q531" s="129" t="str">
        <f>IFERROR(VEND[[#This Row],[Fecha de Despacho]]-VEND[[#This Row],[Fecha Estimada de Entrega a  Cliente]],"")</f>
        <v/>
      </c>
      <c r="R53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1" s="128" t="str">
        <f>IF(VEND[[#This Row],[STATUS]]="O.C","APROBADO",IF(VEND[[#This Row],[STATUS]]="PERDIDO","PERDIDO",IF(VEND[[#This Row],[STATUS]]="EN ESPERA","EN ESPERA")))</f>
        <v>EN ESPERA</v>
      </c>
      <c r="T531" s="128" t="str">
        <f>IF(VEND[[#This Row],[STATUS]]="O.C","APROBADO",IF(VEND[[#This Row],[STATUS]]="PERDIDO","PERDIDO",IF(VEND[[#This Row],[STATUS]]="EN ESPERA","EN ESPERA")))</f>
        <v>EN ESPERA</v>
      </c>
      <c r="U531" s="112" t="s">
        <v>23</v>
      </c>
      <c r="V531" s="112" t="s">
        <v>23</v>
      </c>
      <c r="W531" s="112" t="s">
        <v>1407</v>
      </c>
      <c r="X531" s="128"/>
    </row>
    <row r="532" spans="2:24" ht="15.75" x14ac:dyDescent="0.25">
      <c r="B532" s="126">
        <v>44340</v>
      </c>
      <c r="C532" s="188" t="str">
        <f>TEXT(VEND[[#This Row],[Fecha de Envío
Cotización]],"mmmm")</f>
        <v>mayo</v>
      </c>
      <c r="D532" s="66" t="s">
        <v>50</v>
      </c>
      <c r="E532" s="190" t="s">
        <v>88</v>
      </c>
      <c r="F532" s="125" t="str">
        <f>IF(VEND[[#This Row],[STATUS]]="PERDIDO","N/A","En espera")</f>
        <v>En espera</v>
      </c>
      <c r="G532" s="127" t="str">
        <f>TEXT(VEND[[#This Row],[Fecha Recibe
O.C]],"mmmm")</f>
        <v>En espera</v>
      </c>
      <c r="H532" s="128">
        <v>638</v>
      </c>
      <c r="I532" s="112" t="s">
        <v>283</v>
      </c>
      <c r="J532" s="128"/>
      <c r="K532" s="129">
        <v>2</v>
      </c>
      <c r="L532" s="189">
        <v>1180.32</v>
      </c>
      <c r="M532" s="112" t="s">
        <v>124</v>
      </c>
      <c r="N532" s="112">
        <v>35</v>
      </c>
      <c r="O532" s="212" t="str">
        <f>IF(VEND[[#This Row],[STATUS]]="O.C",(VEND[[#This Row],[Fecha Recibe
O.C]]+VEND[[#This Row],[Dias
entrega ]]),"")</f>
        <v/>
      </c>
      <c r="P532" s="216"/>
      <c r="Q532" s="129" t="str">
        <f>IFERROR(VEND[[#This Row],[Fecha de Despacho]]-VEND[[#This Row],[Fecha Estimada de Entrega a  Cliente]],"")</f>
        <v/>
      </c>
      <c r="R53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2" s="128" t="str">
        <f>IF(VEND[[#This Row],[STATUS]]="O.C","APROBADO",IF(VEND[[#This Row],[STATUS]]="PERDIDO","PERDIDO",IF(VEND[[#This Row],[STATUS]]="EN ESPERA","EN ESPERA")))</f>
        <v>EN ESPERA</v>
      </c>
      <c r="T532" s="128" t="str">
        <f>IF(VEND[[#This Row],[STATUS]]="O.C","APROBADO",IF(VEND[[#This Row],[STATUS]]="PERDIDO","PERDIDO",IF(VEND[[#This Row],[STATUS]]="EN ESPERA","EN ESPERA")))</f>
        <v>EN ESPERA</v>
      </c>
      <c r="U532" s="112" t="s">
        <v>23</v>
      </c>
      <c r="V532" s="112" t="s">
        <v>23</v>
      </c>
      <c r="W532" s="112" t="s">
        <v>1402</v>
      </c>
      <c r="X532" s="128"/>
    </row>
    <row r="533" spans="2:24" ht="15.75" x14ac:dyDescent="0.25">
      <c r="B533" s="126">
        <v>44340</v>
      </c>
      <c r="C533" s="188" t="str">
        <f>TEXT(VEND[[#This Row],[Fecha de Envío
Cotización]],"mmmm")</f>
        <v>mayo</v>
      </c>
      <c r="D533" s="66" t="s">
        <v>1163</v>
      </c>
      <c r="E533" s="190" t="s">
        <v>88</v>
      </c>
      <c r="F533" s="125" t="str">
        <f>IF(VEND[[#This Row],[STATUS]]="PERDIDO","N/A","En espera")</f>
        <v>En espera</v>
      </c>
      <c r="G533" s="127" t="str">
        <f>TEXT(VEND[[#This Row],[Fecha Recibe
O.C]],"mmmm")</f>
        <v>En espera</v>
      </c>
      <c r="H533" s="128">
        <v>4593</v>
      </c>
      <c r="I533" s="112" t="s">
        <v>1241</v>
      </c>
      <c r="J533" s="128"/>
      <c r="K533" s="129">
        <v>1</v>
      </c>
      <c r="L533" s="189">
        <v>27687.599999999999</v>
      </c>
      <c r="M533" s="112"/>
      <c r="N533" s="112"/>
      <c r="O533" s="212" t="str">
        <f>IF(VEND[[#This Row],[STATUS]]="O.C",(VEND[[#This Row],[Fecha Recibe
O.C]]+VEND[[#This Row],[Dias
entrega ]]),"")</f>
        <v/>
      </c>
      <c r="P533" s="216"/>
      <c r="Q533" s="129" t="str">
        <f>IFERROR(VEND[[#This Row],[Fecha de Despacho]]-VEND[[#This Row],[Fecha Estimada de Entrega a  Cliente]],"")</f>
        <v/>
      </c>
      <c r="R53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3" s="128" t="str">
        <f>IF(VEND[[#This Row],[STATUS]]="O.C","APROBADO",IF(VEND[[#This Row],[STATUS]]="PERDIDO","PERDIDO",IF(VEND[[#This Row],[STATUS]]="EN ESPERA","EN ESPERA")))</f>
        <v>EN ESPERA</v>
      </c>
      <c r="T533" s="128" t="str">
        <f>IF(VEND[[#This Row],[STATUS]]="O.C","APROBADO",IF(VEND[[#This Row],[STATUS]]="PERDIDO","PERDIDO",IF(VEND[[#This Row],[STATUS]]="EN ESPERA","EN ESPERA")))</f>
        <v>EN ESPERA</v>
      </c>
      <c r="U533" s="112" t="s">
        <v>23</v>
      </c>
      <c r="V533" s="112" t="s">
        <v>23</v>
      </c>
      <c r="W533" s="112" t="s">
        <v>1409</v>
      </c>
      <c r="X533" s="128"/>
    </row>
    <row r="534" spans="2:24" ht="15.75" x14ac:dyDescent="0.25">
      <c r="B534" s="126">
        <v>44340</v>
      </c>
      <c r="C534" s="188" t="str">
        <f>TEXT(VEND[[#This Row],[Fecha de Envío
Cotización]],"mmmm")</f>
        <v>mayo</v>
      </c>
      <c r="D534" s="66" t="s">
        <v>1163</v>
      </c>
      <c r="E534" s="190" t="s">
        <v>88</v>
      </c>
      <c r="F534" s="125" t="str">
        <f>IF(VEND[[#This Row],[STATUS]]="PERDIDO","N/A","En espera")</f>
        <v>En espera</v>
      </c>
      <c r="G534" s="127" t="str">
        <f>TEXT(VEND[[#This Row],[Fecha Recibe
O.C]],"mmmm")</f>
        <v>En espera</v>
      </c>
      <c r="H534" s="128">
        <v>4594</v>
      </c>
      <c r="I534" s="112" t="s">
        <v>1241</v>
      </c>
      <c r="J534" s="128"/>
      <c r="K534" s="129">
        <v>1</v>
      </c>
      <c r="L534" s="189">
        <v>2227.6</v>
      </c>
      <c r="M534" s="112"/>
      <c r="N534" s="112"/>
      <c r="O534" s="212" t="str">
        <f>IF(VEND[[#This Row],[STATUS]]="O.C",(VEND[[#This Row],[Fecha Recibe
O.C]]+VEND[[#This Row],[Dias
entrega ]]),"")</f>
        <v/>
      </c>
      <c r="P534" s="216"/>
      <c r="Q534" s="129" t="str">
        <f>IFERROR(VEND[[#This Row],[Fecha de Despacho]]-VEND[[#This Row],[Fecha Estimada de Entrega a  Cliente]],"")</f>
        <v/>
      </c>
      <c r="R53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4" s="128" t="str">
        <f>IF(VEND[[#This Row],[STATUS]]="O.C","APROBADO",IF(VEND[[#This Row],[STATUS]]="PERDIDO","PERDIDO",IF(VEND[[#This Row],[STATUS]]="EN ESPERA","EN ESPERA")))</f>
        <v>EN ESPERA</v>
      </c>
      <c r="T534" s="128" t="str">
        <f>IF(VEND[[#This Row],[STATUS]]="O.C","APROBADO",IF(VEND[[#This Row],[STATUS]]="PERDIDO","PERDIDO",IF(VEND[[#This Row],[STATUS]]="EN ESPERA","EN ESPERA")))</f>
        <v>EN ESPERA</v>
      </c>
      <c r="U534" s="112" t="s">
        <v>23</v>
      </c>
      <c r="V534" s="112" t="s">
        <v>23</v>
      </c>
      <c r="W534" s="112" t="s">
        <v>1409</v>
      </c>
      <c r="X534" s="128"/>
    </row>
    <row r="535" spans="2:24" ht="15.75" x14ac:dyDescent="0.25">
      <c r="B535" s="237">
        <v>44340</v>
      </c>
      <c r="C535" s="188" t="str">
        <f>TEXT(VEND[[#This Row],[Fecha de Envío
Cotización]],"mmmm")</f>
        <v>mayo</v>
      </c>
      <c r="D535" s="66" t="s">
        <v>1163</v>
      </c>
      <c r="E535" s="190" t="s">
        <v>83</v>
      </c>
      <c r="F535" s="125">
        <v>44343</v>
      </c>
      <c r="G535" s="127" t="str">
        <f>TEXT(VEND[[#This Row],[Fecha Recibe
O.C]],"mmmm")</f>
        <v>mayo</v>
      </c>
      <c r="H535" s="128">
        <v>4595</v>
      </c>
      <c r="I535" s="112" t="s">
        <v>1241</v>
      </c>
      <c r="J535" s="128"/>
      <c r="K535" s="129">
        <v>1</v>
      </c>
      <c r="L535" s="189">
        <v>978.22</v>
      </c>
      <c r="M535" s="112" t="s">
        <v>16</v>
      </c>
      <c r="N535" s="112">
        <v>21</v>
      </c>
      <c r="O535" s="212">
        <f>IF(VEND[[#This Row],[STATUS]]="O.C",(VEND[[#This Row],[Fecha Recibe
O.C]]+VEND[[#This Row],[Dias
entrega ]]),"")</f>
        <v>44364</v>
      </c>
      <c r="P535" s="216"/>
      <c r="Q535" s="129">
        <f>IFERROR(VEND[[#This Row],[Fecha de Despacho]]-VEND[[#This Row],[Fecha Estimada de Entrega a  Cliente]],"")</f>
        <v>-44364</v>
      </c>
      <c r="R53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5" s="128" t="str">
        <f>IF(VEND[[#This Row],[STATUS]]="O.C","APROBADO",IF(VEND[[#This Row],[STATUS]]="PERDIDO","PERDIDO",IF(VEND[[#This Row],[STATUS]]="EN ESPERA","EN ESPERA")))</f>
        <v>APROBADO</v>
      </c>
      <c r="T535" s="128" t="str">
        <f>IF(VEND[[#This Row],[STATUS]]="O.C","APROBADO",IF(VEND[[#This Row],[STATUS]]="PERDIDO","PERDIDO",IF(VEND[[#This Row],[STATUS]]="EN ESPERA","EN ESPERA")))</f>
        <v>APROBADO</v>
      </c>
      <c r="U535" s="112" t="s">
        <v>46</v>
      </c>
      <c r="V535" s="112" t="s">
        <v>46</v>
      </c>
      <c r="W535" s="112" t="s">
        <v>1409</v>
      </c>
      <c r="X535" s="128" t="s">
        <v>2437</v>
      </c>
    </row>
    <row r="536" spans="2:24" ht="15.75" x14ac:dyDescent="0.25">
      <c r="B536" s="126">
        <v>44340</v>
      </c>
      <c r="C536" s="188" t="str">
        <f>TEXT(VEND[[#This Row],[Fecha de Envío
Cotización]],"mmmm")</f>
        <v>mayo</v>
      </c>
      <c r="D536" s="66" t="s">
        <v>945</v>
      </c>
      <c r="E536" s="190" t="s">
        <v>88</v>
      </c>
      <c r="F536" s="125" t="str">
        <f>IF(VEND[[#This Row],[STATUS]]="PERDIDO","N/A","En espera")</f>
        <v>En espera</v>
      </c>
      <c r="G536" s="127" t="str">
        <f>TEXT(VEND[[#This Row],[Fecha Recibe
O.C]],"mmmm")</f>
        <v>En espera</v>
      </c>
      <c r="H536" s="128">
        <v>6038</v>
      </c>
      <c r="I536" s="112" t="s">
        <v>130</v>
      </c>
      <c r="J536" s="128"/>
      <c r="K536" s="129">
        <v>6</v>
      </c>
      <c r="L536" s="189">
        <v>2353.75</v>
      </c>
      <c r="M536" s="112" t="s">
        <v>56</v>
      </c>
      <c r="N536" s="112">
        <v>42</v>
      </c>
      <c r="O536" s="212" t="str">
        <f>IF(VEND[[#This Row],[STATUS]]="O.C",(VEND[[#This Row],[Fecha Recibe
O.C]]+VEND[[#This Row],[Dias
entrega ]]),"")</f>
        <v/>
      </c>
      <c r="P536" s="216"/>
      <c r="Q536" s="129" t="str">
        <f>IFERROR(VEND[[#This Row],[Fecha de Despacho]]-VEND[[#This Row],[Fecha Estimada de Entrega a  Cliente]],"")</f>
        <v/>
      </c>
      <c r="R53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6" s="128" t="str">
        <f>IF(VEND[[#This Row],[STATUS]]="O.C","APROBADO",IF(VEND[[#This Row],[STATUS]]="PERDIDO","PERDIDO",IF(VEND[[#This Row],[STATUS]]="EN ESPERA","EN ESPERA")))</f>
        <v>EN ESPERA</v>
      </c>
      <c r="T536" s="128" t="str">
        <f>IF(VEND[[#This Row],[STATUS]]="O.C","APROBADO",IF(VEND[[#This Row],[STATUS]]="PERDIDO","PERDIDO",IF(VEND[[#This Row],[STATUS]]="EN ESPERA","EN ESPERA")))</f>
        <v>EN ESPERA</v>
      </c>
      <c r="U536" s="112" t="s">
        <v>23</v>
      </c>
      <c r="V536" s="112" t="s">
        <v>23</v>
      </c>
      <c r="W536" s="112" t="s">
        <v>1409</v>
      </c>
      <c r="X536" s="128"/>
    </row>
    <row r="537" spans="2:24" ht="15.75" x14ac:dyDescent="0.25">
      <c r="B537" s="71">
        <v>44341</v>
      </c>
      <c r="C537" s="195" t="str">
        <f>TEXT(VEND[[#This Row],[Fecha de Envío
Cotización]],"mmmm")</f>
        <v>mayo</v>
      </c>
      <c r="D537" s="66" t="s">
        <v>945</v>
      </c>
      <c r="E537" s="190" t="s">
        <v>83</v>
      </c>
      <c r="F537" s="93">
        <v>44341</v>
      </c>
      <c r="G537" s="93" t="str">
        <f>TEXT(VEND[[#This Row],[Fecha Recibe
O.C]],"mmmm")</f>
        <v>mayo</v>
      </c>
      <c r="H537" s="112" t="s">
        <v>1834</v>
      </c>
      <c r="I537" s="112" t="s">
        <v>1833</v>
      </c>
      <c r="J537" s="112"/>
      <c r="K537" s="58">
        <v>2</v>
      </c>
      <c r="L537" s="123">
        <v>590</v>
      </c>
      <c r="M537" s="112" t="s">
        <v>119</v>
      </c>
      <c r="N537" s="112">
        <v>0</v>
      </c>
      <c r="O537" s="212">
        <f>IF(VEND[[#This Row],[STATUS]]="O.C",(VEND[[#This Row],[Fecha Recibe
O.C]]+VEND[[#This Row],[Dias
entrega ]]),"")</f>
        <v>44341</v>
      </c>
      <c r="P537" s="212">
        <v>44341</v>
      </c>
      <c r="Q537" s="58">
        <f>IFERROR(VEND[[#This Row],[Fecha de Despacho]]-VEND[[#This Row],[Fecha Estimada de Entrega a  Cliente]],"")</f>
        <v>0</v>
      </c>
      <c r="R53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7" s="112" t="s">
        <v>44</v>
      </c>
      <c r="T537" s="112" t="s">
        <v>44</v>
      </c>
      <c r="U537" s="112" t="s">
        <v>45</v>
      </c>
      <c r="V537" s="112" t="s">
        <v>46</v>
      </c>
      <c r="W537" s="112" t="s">
        <v>1402</v>
      </c>
      <c r="X537" s="112"/>
    </row>
    <row r="538" spans="2:24" ht="15.75" x14ac:dyDescent="0.25">
      <c r="B538" s="126">
        <v>44342</v>
      </c>
      <c r="C538" s="188" t="str">
        <f>TEXT(VEND[[#This Row],[Fecha de Envío
Cotización]],"mmmm")</f>
        <v>mayo</v>
      </c>
      <c r="D538" s="66" t="s">
        <v>41</v>
      </c>
      <c r="E538" s="190" t="s">
        <v>88</v>
      </c>
      <c r="F538" s="125" t="str">
        <f>IF(VEND[[#This Row],[STATUS]]="PERDIDO","N/A","En espera")</f>
        <v>En espera</v>
      </c>
      <c r="G538" s="127" t="str">
        <f>TEXT(VEND[[#This Row],[Fecha Recibe
O.C]],"mmmm")</f>
        <v>En espera</v>
      </c>
      <c r="H538" s="128">
        <v>643</v>
      </c>
      <c r="I538" s="112" t="s">
        <v>94</v>
      </c>
      <c r="J538" s="128"/>
      <c r="K538" s="129">
        <v>4</v>
      </c>
      <c r="L538" s="189">
        <v>2419.6799999999998</v>
      </c>
      <c r="M538" s="112" t="s">
        <v>73</v>
      </c>
      <c r="N538" s="112">
        <v>14</v>
      </c>
      <c r="O538" s="212" t="str">
        <f>IF(VEND[[#This Row],[STATUS]]="O.C",(VEND[[#This Row],[Fecha Recibe
O.C]]+VEND[[#This Row],[Dias
entrega ]]),"")</f>
        <v/>
      </c>
      <c r="P538" s="216"/>
      <c r="Q538" s="129" t="str">
        <f>IFERROR(VEND[[#This Row],[Fecha de Despacho]]-VEND[[#This Row],[Fecha Estimada de Entrega a  Cliente]],"")</f>
        <v/>
      </c>
      <c r="R53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8" s="128" t="str">
        <f>IF(VEND[[#This Row],[STATUS]]="O.C","APROBADO",IF(VEND[[#This Row],[STATUS]]="PERDIDO","PERDIDO",IF(VEND[[#This Row],[STATUS]]="EN ESPERA","EN ESPERA")))</f>
        <v>EN ESPERA</v>
      </c>
      <c r="T538" s="128" t="str">
        <f>IF(VEND[[#This Row],[STATUS]]="O.C","APROBADO",IF(VEND[[#This Row],[STATUS]]="PERDIDO","PERDIDO",IF(VEND[[#This Row],[STATUS]]="EN ESPERA","EN ESPERA")))</f>
        <v>EN ESPERA</v>
      </c>
      <c r="U538" s="112" t="s">
        <v>23</v>
      </c>
      <c r="V538" s="112" t="s">
        <v>23</v>
      </c>
      <c r="W538" s="112" t="s">
        <v>1409</v>
      </c>
      <c r="X538" s="128"/>
    </row>
    <row r="539" spans="2:24" ht="15.75" x14ac:dyDescent="0.25">
      <c r="B539" s="237">
        <v>44342</v>
      </c>
      <c r="C539" s="188" t="str">
        <f>TEXT(VEND[[#This Row],[Fecha de Envío
Cotización]],"mmmm")</f>
        <v>mayo</v>
      </c>
      <c r="D539" s="66" t="s">
        <v>1163</v>
      </c>
      <c r="E539" s="190" t="s">
        <v>83</v>
      </c>
      <c r="F539" s="127">
        <v>44349</v>
      </c>
      <c r="G539" s="127" t="str">
        <f>TEXT(VEND[[#This Row],[Fecha Recibe
O.C]],"mmmm")</f>
        <v>junio</v>
      </c>
      <c r="H539" s="128">
        <v>644</v>
      </c>
      <c r="I539" s="112" t="s">
        <v>1241</v>
      </c>
      <c r="J539" s="128"/>
      <c r="K539" s="129">
        <v>1</v>
      </c>
      <c r="L539" s="189">
        <v>8352.0400000000009</v>
      </c>
      <c r="M539" s="112" t="s">
        <v>124</v>
      </c>
      <c r="N539" s="112"/>
      <c r="O539" s="212">
        <f>IF(VEND[[#This Row],[STATUS]]="O.C",(VEND[[#This Row],[Fecha Recibe
O.C]]+VEND[[#This Row],[Dias
entrega ]]),"")</f>
        <v>44349</v>
      </c>
      <c r="P539" s="216"/>
      <c r="Q539" s="129">
        <f>IFERROR(VEND[[#This Row],[Fecha de Despacho]]-VEND[[#This Row],[Fecha Estimada de Entrega a  Cliente]],"")</f>
        <v>-44349</v>
      </c>
      <c r="R53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39" s="128" t="str">
        <f>IF(VEND[[#This Row],[STATUS]]="O.C","APROBADO",IF(VEND[[#This Row],[STATUS]]="PERDIDO","PERDIDO",IF(VEND[[#This Row],[STATUS]]="EN ESPERA","EN ESPERA")))</f>
        <v>APROBADO</v>
      </c>
      <c r="T539" s="128" t="str">
        <f>IF(VEND[[#This Row],[STATUS]]="O.C","APROBADO",IF(VEND[[#This Row],[STATUS]]="PERDIDO","PERDIDO",IF(VEND[[#This Row],[STATUS]]="EN ESPERA","EN ESPERA")))</f>
        <v>APROBADO</v>
      </c>
      <c r="U539" s="112" t="s">
        <v>46</v>
      </c>
      <c r="V539" s="112" t="s">
        <v>46</v>
      </c>
      <c r="W539" s="112" t="s">
        <v>1409</v>
      </c>
      <c r="X539" s="112" t="s">
        <v>1889</v>
      </c>
    </row>
    <row r="540" spans="2:24" ht="15.75" x14ac:dyDescent="0.25">
      <c r="B540" s="126">
        <v>44342</v>
      </c>
      <c r="C540" s="188" t="str">
        <f>TEXT(VEND[[#This Row],[Fecha de Envío
Cotización]],"mmmm")</f>
        <v>mayo</v>
      </c>
      <c r="D540" s="66" t="s">
        <v>50</v>
      </c>
      <c r="E540" s="190" t="s">
        <v>88</v>
      </c>
      <c r="F540" s="125" t="str">
        <f>IF(VEND[[#This Row],[STATUS]]="PERDIDO","N/A","En espera")</f>
        <v>En espera</v>
      </c>
      <c r="G540" s="127" t="str">
        <f>TEXT(VEND[[#This Row],[Fecha Recibe
O.C]],"mmmm")</f>
        <v>En espera</v>
      </c>
      <c r="H540" s="128">
        <v>648</v>
      </c>
      <c r="I540" s="154" t="s">
        <v>283</v>
      </c>
      <c r="J540" s="128"/>
      <c r="K540" s="129">
        <v>1</v>
      </c>
      <c r="L540" s="189">
        <v>1626.04</v>
      </c>
      <c r="M540" s="112" t="s">
        <v>16</v>
      </c>
      <c r="N540" s="112">
        <v>21</v>
      </c>
      <c r="O540" s="212" t="str">
        <f>IF(VEND[[#This Row],[STATUS]]="O.C",(VEND[[#This Row],[Fecha Recibe
O.C]]+VEND[[#This Row],[Dias
entrega ]]),"")</f>
        <v/>
      </c>
      <c r="P540" s="216"/>
      <c r="Q540" s="129" t="str">
        <f>IFERROR(VEND[[#This Row],[Fecha de Despacho]]-VEND[[#This Row],[Fecha Estimada de Entrega a  Cliente]],"")</f>
        <v/>
      </c>
      <c r="R54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0" s="128" t="str">
        <f>IF(VEND[[#This Row],[STATUS]]="O.C","APROBADO",IF(VEND[[#This Row],[STATUS]]="PERDIDO","PERDIDO",IF(VEND[[#This Row],[STATUS]]="EN ESPERA","EN ESPERA")))</f>
        <v>EN ESPERA</v>
      </c>
      <c r="T540" s="128" t="str">
        <f>IF(VEND[[#This Row],[STATUS]]="O.C","APROBADO",IF(VEND[[#This Row],[STATUS]]="PERDIDO","PERDIDO",IF(VEND[[#This Row],[STATUS]]="EN ESPERA","EN ESPERA")))</f>
        <v>EN ESPERA</v>
      </c>
      <c r="U540" s="112" t="s">
        <v>23</v>
      </c>
      <c r="V540" s="112" t="s">
        <v>23</v>
      </c>
      <c r="W540" s="112" t="s">
        <v>1402</v>
      </c>
      <c r="X540" s="128"/>
    </row>
    <row r="541" spans="2:24" ht="15.75" x14ac:dyDescent="0.25">
      <c r="B541" s="126">
        <v>44342</v>
      </c>
      <c r="C541" s="188" t="str">
        <f>TEXT(VEND[[#This Row],[Fecha de Envío
Cotización]],"mmmm")</f>
        <v>mayo</v>
      </c>
      <c r="D541" s="66" t="s">
        <v>50</v>
      </c>
      <c r="E541" s="190" t="s">
        <v>88</v>
      </c>
      <c r="F541" s="125" t="str">
        <f>IF(VEND[[#This Row],[STATUS]]="PERDIDO","N/A","En espera")</f>
        <v>En espera</v>
      </c>
      <c r="G541" s="127" t="str">
        <f>TEXT(VEND[[#This Row],[Fecha Recibe
O.C]],"mmmm")</f>
        <v>En espera</v>
      </c>
      <c r="H541" s="128">
        <v>649</v>
      </c>
      <c r="I541" s="112" t="s">
        <v>125</v>
      </c>
      <c r="J541" s="128"/>
      <c r="K541" s="129">
        <v>1</v>
      </c>
      <c r="L541" s="189">
        <v>2337.5</v>
      </c>
      <c r="M541" s="112" t="s">
        <v>36</v>
      </c>
      <c r="N541" s="112">
        <v>28</v>
      </c>
      <c r="O541" s="212" t="str">
        <f>IF(VEND[[#This Row],[STATUS]]="O.C",(VEND[[#This Row],[Fecha Recibe
O.C]]+VEND[[#This Row],[Dias
entrega ]]),"")</f>
        <v/>
      </c>
      <c r="P541" s="216"/>
      <c r="Q541" s="129" t="str">
        <f>IFERROR(VEND[[#This Row],[Fecha de Despacho]]-VEND[[#This Row],[Fecha Estimada de Entrega a  Cliente]],"")</f>
        <v/>
      </c>
      <c r="R54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1" s="128" t="str">
        <f>IF(VEND[[#This Row],[STATUS]]="O.C","APROBADO",IF(VEND[[#This Row],[STATUS]]="PERDIDO","PERDIDO",IF(VEND[[#This Row],[STATUS]]="EN ESPERA","EN ESPERA")))</f>
        <v>EN ESPERA</v>
      </c>
      <c r="T541" s="128" t="str">
        <f>IF(VEND[[#This Row],[STATUS]]="O.C","APROBADO",IF(VEND[[#This Row],[STATUS]]="PERDIDO","PERDIDO",IF(VEND[[#This Row],[STATUS]]="EN ESPERA","EN ESPERA")))</f>
        <v>EN ESPERA</v>
      </c>
      <c r="U541" s="112" t="s">
        <v>23</v>
      </c>
      <c r="V541" s="112" t="s">
        <v>23</v>
      </c>
      <c r="W541" s="112" t="s">
        <v>1401</v>
      </c>
      <c r="X541" s="128"/>
    </row>
    <row r="542" spans="2:24" ht="15.75" x14ac:dyDescent="0.25">
      <c r="B542" s="126">
        <v>44342</v>
      </c>
      <c r="C542" s="188" t="str">
        <f>TEXT(VEND[[#This Row],[Fecha de Envío
Cotización]],"mmmm")</f>
        <v>mayo</v>
      </c>
      <c r="D542" s="66" t="s">
        <v>945</v>
      </c>
      <c r="E542" s="190" t="s">
        <v>88</v>
      </c>
      <c r="F542" s="125" t="str">
        <f>IF(VEND[[#This Row],[STATUS]]="PERDIDO","N/A","En espera")</f>
        <v>En espera</v>
      </c>
      <c r="G542" s="127" t="str">
        <f>TEXT(VEND[[#This Row],[Fecha Recibe
O.C]],"mmmm")</f>
        <v>En espera</v>
      </c>
      <c r="H542" s="128">
        <v>6041</v>
      </c>
      <c r="I542" s="112" t="s">
        <v>28</v>
      </c>
      <c r="J542" s="128"/>
      <c r="K542" s="129">
        <v>1</v>
      </c>
      <c r="L542" s="189">
        <v>28472.880000000001</v>
      </c>
      <c r="M542" s="112" t="s">
        <v>419</v>
      </c>
      <c r="N542" s="112">
        <v>35</v>
      </c>
      <c r="O542" s="212" t="str">
        <f>IF(VEND[[#This Row],[STATUS]]="O.C",(VEND[[#This Row],[Fecha Recibe
O.C]]+VEND[[#This Row],[Dias
entrega ]]),"")</f>
        <v/>
      </c>
      <c r="P542" s="216"/>
      <c r="Q542" s="129" t="str">
        <f>IFERROR(VEND[[#This Row],[Fecha de Despacho]]-VEND[[#This Row],[Fecha Estimada de Entrega a  Cliente]],"")</f>
        <v/>
      </c>
      <c r="R54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2" s="128" t="str">
        <f>IF(VEND[[#This Row],[STATUS]]="O.C","APROBADO",IF(VEND[[#This Row],[STATUS]]="PERDIDO","PERDIDO",IF(VEND[[#This Row],[STATUS]]="EN ESPERA","EN ESPERA")))</f>
        <v>EN ESPERA</v>
      </c>
      <c r="T542" s="128" t="str">
        <f>IF(VEND[[#This Row],[STATUS]]="O.C","APROBADO",IF(VEND[[#This Row],[STATUS]]="PERDIDO","PERDIDO",IF(VEND[[#This Row],[STATUS]]="EN ESPERA","EN ESPERA")))</f>
        <v>EN ESPERA</v>
      </c>
      <c r="U542" s="112" t="s">
        <v>23</v>
      </c>
      <c r="V542" s="112" t="s">
        <v>23</v>
      </c>
      <c r="W542" s="112" t="s">
        <v>1401</v>
      </c>
      <c r="X542" s="128"/>
    </row>
    <row r="543" spans="2:24" ht="15.75" x14ac:dyDescent="0.25">
      <c r="B543" s="126">
        <v>44342</v>
      </c>
      <c r="C543" s="188" t="str">
        <f>TEXT(VEND[[#This Row],[Fecha de Envío
Cotización]],"mmmm")</f>
        <v>mayo</v>
      </c>
      <c r="D543" s="66" t="s">
        <v>945</v>
      </c>
      <c r="E543" s="190" t="s">
        <v>88</v>
      </c>
      <c r="F543" s="125" t="str">
        <f>IF(VEND[[#This Row],[STATUS]]="PERDIDO","N/A","En espera")</f>
        <v>En espera</v>
      </c>
      <c r="G543" s="127" t="str">
        <f>TEXT(VEND[[#This Row],[Fecha Recibe
O.C]],"mmmm")</f>
        <v>En espera</v>
      </c>
      <c r="H543" s="128">
        <v>6042</v>
      </c>
      <c r="I543" s="112" t="s">
        <v>424</v>
      </c>
      <c r="J543" s="128"/>
      <c r="K543" s="129">
        <v>1</v>
      </c>
      <c r="L543" s="189">
        <v>1126.44</v>
      </c>
      <c r="M543" s="112" t="s">
        <v>36</v>
      </c>
      <c r="N543" s="112">
        <v>28</v>
      </c>
      <c r="O543" s="212" t="str">
        <f>IF(VEND[[#This Row],[STATUS]]="O.C",(VEND[[#This Row],[Fecha Recibe
O.C]]+VEND[[#This Row],[Dias
entrega ]]),"")</f>
        <v/>
      </c>
      <c r="P543" s="216"/>
      <c r="Q543" s="129" t="str">
        <f>IFERROR(VEND[[#This Row],[Fecha de Despacho]]-VEND[[#This Row],[Fecha Estimada de Entrega a  Cliente]],"")</f>
        <v/>
      </c>
      <c r="R54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3" s="128" t="str">
        <f>IF(VEND[[#This Row],[STATUS]]="O.C","APROBADO",IF(VEND[[#This Row],[STATUS]]="PERDIDO","PERDIDO",IF(VEND[[#This Row],[STATUS]]="EN ESPERA","EN ESPERA")))</f>
        <v>EN ESPERA</v>
      </c>
      <c r="T543" s="128" t="str">
        <f>IF(VEND[[#This Row],[STATUS]]="O.C","APROBADO",IF(VEND[[#This Row],[STATUS]]="PERDIDO","PERDIDO",IF(VEND[[#This Row],[STATUS]]="EN ESPERA","EN ESPERA")))</f>
        <v>EN ESPERA</v>
      </c>
      <c r="U543" s="112" t="s">
        <v>23</v>
      </c>
      <c r="V543" s="112" t="s">
        <v>23</v>
      </c>
      <c r="W543" s="112" t="s">
        <v>1402</v>
      </c>
      <c r="X543" s="128"/>
    </row>
    <row r="544" spans="2:24" ht="15.75" x14ac:dyDescent="0.25">
      <c r="B544" s="71">
        <v>44342</v>
      </c>
      <c r="C544" s="195" t="str">
        <f>TEXT(VEND[[#This Row],[Fecha de Envío
Cotización]],"mmmm")</f>
        <v>mayo</v>
      </c>
      <c r="D544" s="66" t="s">
        <v>945</v>
      </c>
      <c r="E544" s="190" t="s">
        <v>83</v>
      </c>
      <c r="F544" s="93">
        <v>44335</v>
      </c>
      <c r="G544" s="93" t="str">
        <f>TEXT(VEND[[#This Row],[Fecha Recibe
O.C]],"mmmm")</f>
        <v>mayo</v>
      </c>
      <c r="H544" s="112" t="s">
        <v>1836</v>
      </c>
      <c r="I544" s="112" t="s">
        <v>1833</v>
      </c>
      <c r="J544" s="112"/>
      <c r="K544" s="58">
        <v>1</v>
      </c>
      <c r="L544" s="123">
        <v>45</v>
      </c>
      <c r="M544" s="112" t="s">
        <v>119</v>
      </c>
      <c r="N544" s="112">
        <v>0</v>
      </c>
      <c r="O544" s="212">
        <f>IF(VEND[[#This Row],[STATUS]]="O.C",(VEND[[#This Row],[Fecha Recibe
O.C]]+VEND[[#This Row],[Dias
entrega ]]),"")</f>
        <v>44335</v>
      </c>
      <c r="P544" s="212">
        <v>44335</v>
      </c>
      <c r="Q544" s="58">
        <f>IFERROR(VEND[[#This Row],[Fecha de Despacho]]-VEND[[#This Row],[Fecha Estimada de Entrega a  Cliente]],"")</f>
        <v>0</v>
      </c>
      <c r="R54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4" s="112" t="str">
        <f>IF(VEND[[#This Row],[STATUS]]="O.C","APROBADO",IF(VEND[[#This Row],[STATUS]]="PERDIDO","PERDIDO",IF(VEND[[#This Row],[STATUS]]="EN ESPERA","EN ESPERA")))</f>
        <v>APROBADO</v>
      </c>
      <c r="T544" s="112" t="str">
        <f>IF(VEND[[#This Row],[STATUS]]="O.C","APROBADO",IF(VEND[[#This Row],[STATUS]]="PERDIDO","PERDIDO",IF(VEND[[#This Row],[STATUS]]="EN ESPERA","EN ESPERA")))</f>
        <v>APROBADO</v>
      </c>
      <c r="U544" s="112" t="s">
        <v>45</v>
      </c>
      <c r="V544" s="112" t="s">
        <v>47</v>
      </c>
      <c r="W544" s="112" t="s">
        <v>1402</v>
      </c>
      <c r="X544" s="112"/>
    </row>
    <row r="545" spans="2:24" ht="15.75" x14ac:dyDescent="0.25">
      <c r="B545" s="126">
        <v>44343</v>
      </c>
      <c r="C545" s="188" t="str">
        <f>TEXT(VEND[[#This Row],[Fecha de Envío
Cotización]],"mmmm")</f>
        <v>mayo</v>
      </c>
      <c r="D545" s="66" t="s">
        <v>50</v>
      </c>
      <c r="E545" s="190" t="s">
        <v>83</v>
      </c>
      <c r="F545" s="125">
        <v>44349</v>
      </c>
      <c r="G545" s="127" t="str">
        <f>TEXT(VEND[[#This Row],[Fecha Recibe
O.C]],"mmmm")</f>
        <v>junio</v>
      </c>
      <c r="H545" s="128">
        <v>652</v>
      </c>
      <c r="I545" s="112" t="s">
        <v>33</v>
      </c>
      <c r="J545" s="128"/>
      <c r="K545" s="129">
        <v>16</v>
      </c>
      <c r="L545" s="189">
        <v>499.45</v>
      </c>
      <c r="M545" s="112" t="s">
        <v>22</v>
      </c>
      <c r="N545" s="112">
        <v>0</v>
      </c>
      <c r="O545" s="212">
        <f>IF(VEND[[#This Row],[STATUS]]="O.C",(VEND[[#This Row],[Fecha Recibe
O.C]]+VEND[[#This Row],[Dias
entrega ]]),"")</f>
        <v>44349</v>
      </c>
      <c r="P545" s="216">
        <v>44355</v>
      </c>
      <c r="Q545" s="129">
        <f>IFERROR(VEND[[#This Row],[Fecha de Despacho]]-VEND[[#This Row],[Fecha Estimada de Entrega a  Cliente]],"")</f>
        <v>6</v>
      </c>
      <c r="R54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ATRASADO</v>
      </c>
      <c r="S545" s="128" t="str">
        <f>IF(VEND[[#This Row],[STATUS]]="O.C","APROBADO",IF(VEND[[#This Row],[STATUS]]="PERDIDO","PERDIDO",IF(VEND[[#This Row],[STATUS]]="EN ESPERA","EN ESPERA")))</f>
        <v>APROBADO</v>
      </c>
      <c r="T545" s="128" t="str">
        <f>IF(VEND[[#This Row],[STATUS]]="O.C","APROBADO",IF(VEND[[#This Row],[STATUS]]="PERDIDO","PERDIDO",IF(VEND[[#This Row],[STATUS]]="EN ESPERA","EN ESPERA")))</f>
        <v>APROBADO</v>
      </c>
      <c r="U545" s="112" t="s">
        <v>45</v>
      </c>
      <c r="V545" s="112" t="s">
        <v>47</v>
      </c>
      <c r="W545" s="112" t="s">
        <v>1402</v>
      </c>
      <c r="X545" s="112" t="s">
        <v>1887</v>
      </c>
    </row>
    <row r="546" spans="2:24" ht="15.75" x14ac:dyDescent="0.25">
      <c r="B546" s="126">
        <v>44343</v>
      </c>
      <c r="C546" s="188" t="str">
        <f>TEXT(VEND[[#This Row],[Fecha de Envío
Cotización]],"mmmm")</f>
        <v>mayo</v>
      </c>
      <c r="D546" s="66" t="s">
        <v>50</v>
      </c>
      <c r="E546" s="190" t="s">
        <v>88</v>
      </c>
      <c r="F546" s="125" t="str">
        <f>IF(VEND[[#This Row],[STATUS]]="PERDIDO","N/A","En espera")</f>
        <v>En espera</v>
      </c>
      <c r="G546" s="127" t="str">
        <f>TEXT(VEND[[#This Row],[Fecha Recibe
O.C]],"mmmm")</f>
        <v>En espera</v>
      </c>
      <c r="H546" s="128">
        <v>653</v>
      </c>
      <c r="I546" s="112" t="s">
        <v>33</v>
      </c>
      <c r="J546" s="128"/>
      <c r="K546" s="129">
        <v>1</v>
      </c>
      <c r="L546" s="189">
        <v>1071.04</v>
      </c>
      <c r="M546" s="112" t="s">
        <v>36</v>
      </c>
      <c r="N546" s="112">
        <v>28</v>
      </c>
      <c r="O546" s="212" t="str">
        <f>IF(VEND[[#This Row],[STATUS]]="O.C",(VEND[[#This Row],[Fecha Recibe
O.C]]+VEND[[#This Row],[Dias
entrega ]]),"")</f>
        <v/>
      </c>
      <c r="P546" s="216"/>
      <c r="Q546" s="129" t="str">
        <f>IFERROR(VEND[[#This Row],[Fecha de Despacho]]-VEND[[#This Row],[Fecha Estimada de Entrega a  Cliente]],"")</f>
        <v/>
      </c>
      <c r="R54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6" s="128" t="str">
        <f>IF(VEND[[#This Row],[STATUS]]="O.C","APROBADO",IF(VEND[[#This Row],[STATUS]]="PERDIDO","PERDIDO",IF(VEND[[#This Row],[STATUS]]="EN ESPERA","EN ESPERA")))</f>
        <v>EN ESPERA</v>
      </c>
      <c r="T546" s="128" t="str">
        <f>IF(VEND[[#This Row],[STATUS]]="O.C","APROBADO",IF(VEND[[#This Row],[STATUS]]="PERDIDO","PERDIDO",IF(VEND[[#This Row],[STATUS]]="EN ESPERA","EN ESPERA")))</f>
        <v>EN ESPERA</v>
      </c>
      <c r="U546" s="112" t="s">
        <v>23</v>
      </c>
      <c r="V546" s="112" t="s">
        <v>23</v>
      </c>
      <c r="W546" s="112" t="s">
        <v>1402</v>
      </c>
      <c r="X546" s="128"/>
    </row>
    <row r="547" spans="2:24" ht="15.75" x14ac:dyDescent="0.25">
      <c r="B547" s="126">
        <v>44343</v>
      </c>
      <c r="C547" s="188" t="str">
        <f>TEXT(VEND[[#This Row],[Fecha de Envío
Cotización]],"mmmm")</f>
        <v>mayo</v>
      </c>
      <c r="D547" s="66" t="s">
        <v>50</v>
      </c>
      <c r="E547" s="190" t="s">
        <v>88</v>
      </c>
      <c r="F547" s="125" t="str">
        <f>IF(VEND[[#This Row],[STATUS]]="PERDIDO","N/A","En espera")</f>
        <v>En espera</v>
      </c>
      <c r="G547" s="127" t="str">
        <f>TEXT(VEND[[#This Row],[Fecha Recibe
O.C]],"mmmm")</f>
        <v>En espera</v>
      </c>
      <c r="H547" s="128">
        <v>654</v>
      </c>
      <c r="I547" s="112" t="s">
        <v>33</v>
      </c>
      <c r="J547" s="128"/>
      <c r="K547" s="129">
        <v>1</v>
      </c>
      <c r="L547" s="189">
        <v>239.56</v>
      </c>
      <c r="M547" s="112" t="s">
        <v>16</v>
      </c>
      <c r="N547" s="112">
        <v>21</v>
      </c>
      <c r="O547" s="212" t="str">
        <f>IF(VEND[[#This Row],[STATUS]]="O.C",(VEND[[#This Row],[Fecha Recibe
O.C]]+VEND[[#This Row],[Dias
entrega ]]),"")</f>
        <v/>
      </c>
      <c r="P547" s="216"/>
      <c r="Q547" s="129" t="str">
        <f>IFERROR(VEND[[#This Row],[Fecha de Despacho]]-VEND[[#This Row],[Fecha Estimada de Entrega a  Cliente]],"")</f>
        <v/>
      </c>
      <c r="R54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7" s="128" t="str">
        <f>IF(VEND[[#This Row],[STATUS]]="O.C","APROBADO",IF(VEND[[#This Row],[STATUS]]="PERDIDO","PERDIDO",IF(VEND[[#This Row],[STATUS]]="EN ESPERA","EN ESPERA")))</f>
        <v>EN ESPERA</v>
      </c>
      <c r="T547" s="128" t="str">
        <f>IF(VEND[[#This Row],[STATUS]]="O.C","APROBADO",IF(VEND[[#This Row],[STATUS]]="PERDIDO","PERDIDO",IF(VEND[[#This Row],[STATUS]]="EN ESPERA","EN ESPERA")))</f>
        <v>EN ESPERA</v>
      </c>
      <c r="U547" s="112" t="s">
        <v>23</v>
      </c>
      <c r="V547" s="112" t="s">
        <v>23</v>
      </c>
      <c r="W547" s="112" t="s">
        <v>1402</v>
      </c>
      <c r="X547" s="128"/>
    </row>
    <row r="548" spans="2:24" ht="15.75" x14ac:dyDescent="0.25">
      <c r="B548" s="126">
        <v>44343</v>
      </c>
      <c r="C548" s="188" t="str">
        <f>TEXT(VEND[[#This Row],[Fecha de Envío
Cotización]],"mmmm")</f>
        <v>mayo</v>
      </c>
      <c r="D548" s="66" t="s">
        <v>68</v>
      </c>
      <c r="E548" s="190" t="s">
        <v>88</v>
      </c>
      <c r="F548" s="125" t="str">
        <f>IF(VEND[[#This Row],[STATUS]]="PERDIDO","N/A","En espera")</f>
        <v>En espera</v>
      </c>
      <c r="G548" s="127" t="str">
        <f>TEXT(VEND[[#This Row],[Fecha Recibe
O.C]],"mmmm")</f>
        <v>En espera</v>
      </c>
      <c r="H548" s="128">
        <v>656</v>
      </c>
      <c r="I548" s="112" t="s">
        <v>96</v>
      </c>
      <c r="J548" s="128"/>
      <c r="K548" s="129">
        <v>3</v>
      </c>
      <c r="L548" s="189">
        <v>6063.28</v>
      </c>
      <c r="M548" s="112" t="s">
        <v>16</v>
      </c>
      <c r="N548" s="112">
        <v>21</v>
      </c>
      <c r="O548" s="212" t="str">
        <f>IF(VEND[[#This Row],[STATUS]]="O.C",(VEND[[#This Row],[Fecha Recibe
O.C]]+VEND[[#This Row],[Dias
entrega ]]),"")</f>
        <v/>
      </c>
      <c r="P548" s="216"/>
      <c r="Q548" s="129" t="str">
        <f>IFERROR(VEND[[#This Row],[Fecha de Despacho]]-VEND[[#This Row],[Fecha Estimada de Entrega a  Cliente]],"")</f>
        <v/>
      </c>
      <c r="R54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8" s="128" t="str">
        <f>IF(VEND[[#This Row],[STATUS]]="O.C","APROBADO",IF(VEND[[#This Row],[STATUS]]="PERDIDO","PERDIDO",IF(VEND[[#This Row],[STATUS]]="EN ESPERA","EN ESPERA")))</f>
        <v>EN ESPERA</v>
      </c>
      <c r="T548" s="128" t="str">
        <f>IF(VEND[[#This Row],[STATUS]]="O.C","APROBADO",IF(VEND[[#This Row],[STATUS]]="PERDIDO","PERDIDO",IF(VEND[[#This Row],[STATUS]]="EN ESPERA","EN ESPERA")))</f>
        <v>EN ESPERA</v>
      </c>
      <c r="U548" s="112" t="s">
        <v>23</v>
      </c>
      <c r="V548" s="112" t="s">
        <v>23</v>
      </c>
      <c r="W548" s="112" t="s">
        <v>1402</v>
      </c>
      <c r="X548" s="128"/>
    </row>
    <row r="549" spans="2:24" ht="15.75" x14ac:dyDescent="0.25">
      <c r="B549" s="126">
        <v>44343</v>
      </c>
      <c r="C549" s="188" t="str">
        <f>TEXT(VEND[[#This Row],[Fecha de Envío
Cotización]],"mmmm")</f>
        <v>mayo</v>
      </c>
      <c r="D549" s="66" t="s">
        <v>50</v>
      </c>
      <c r="E549" s="190" t="s">
        <v>88</v>
      </c>
      <c r="F549" s="125" t="str">
        <f>IF(VEND[[#This Row],[STATUS]]="PERDIDO","N/A","En espera")</f>
        <v>En espera</v>
      </c>
      <c r="G549" s="127" t="str">
        <f>TEXT(VEND[[#This Row],[Fecha Recibe
O.C]],"mmmm")</f>
        <v>En espera</v>
      </c>
      <c r="H549" s="128">
        <v>659</v>
      </c>
      <c r="I549" s="112" t="s">
        <v>283</v>
      </c>
      <c r="J549" s="128"/>
      <c r="K549" s="129">
        <v>2</v>
      </c>
      <c r="L549" s="189">
        <v>95160</v>
      </c>
      <c r="M549" s="112" t="s">
        <v>1740</v>
      </c>
      <c r="N549" s="112">
        <v>25</v>
      </c>
      <c r="O549" s="212" t="str">
        <f>IF(VEND[[#This Row],[STATUS]]="O.C",(VEND[[#This Row],[Fecha Recibe
O.C]]+VEND[[#This Row],[Dias
entrega ]]),"")</f>
        <v/>
      </c>
      <c r="P549" s="216"/>
      <c r="Q549" s="129" t="str">
        <f>IFERROR(VEND[[#This Row],[Fecha de Despacho]]-VEND[[#This Row],[Fecha Estimada de Entrega a  Cliente]],"")</f>
        <v/>
      </c>
      <c r="R54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49" s="128" t="str">
        <f>IF(VEND[[#This Row],[STATUS]]="O.C","APROBADO",IF(VEND[[#This Row],[STATUS]]="PERDIDO","PERDIDO",IF(VEND[[#This Row],[STATUS]]="EN ESPERA","EN ESPERA")))</f>
        <v>EN ESPERA</v>
      </c>
      <c r="T549" s="128" t="str">
        <f>IF(VEND[[#This Row],[STATUS]]="O.C","APROBADO",IF(VEND[[#This Row],[STATUS]]="PERDIDO","PERDIDO",IF(VEND[[#This Row],[STATUS]]="EN ESPERA","EN ESPERA")))</f>
        <v>EN ESPERA</v>
      </c>
      <c r="U549" s="112" t="s">
        <v>23</v>
      </c>
      <c r="V549" s="112" t="s">
        <v>23</v>
      </c>
      <c r="W549" s="112" t="s">
        <v>1658</v>
      </c>
      <c r="X549" s="112" t="s">
        <v>1764</v>
      </c>
    </row>
    <row r="550" spans="2:24" ht="15.75" x14ac:dyDescent="0.25">
      <c r="B550" s="126">
        <v>44343</v>
      </c>
      <c r="C550" s="188" t="str">
        <f>TEXT(VEND[[#This Row],[Fecha de Envío
Cotización]],"mmmm")</f>
        <v>mayo</v>
      </c>
      <c r="D550" s="66" t="s">
        <v>68</v>
      </c>
      <c r="E550" s="190" t="s">
        <v>88</v>
      </c>
      <c r="F550" s="125" t="str">
        <f>IF(VEND[[#This Row],[STATUS]]="PERDIDO","N/A","En espera")</f>
        <v>En espera</v>
      </c>
      <c r="G550" s="127" t="str">
        <f>TEXT(VEND[[#This Row],[Fecha Recibe
O.C]],"mmmm")</f>
        <v>En espera</v>
      </c>
      <c r="H550" s="128">
        <v>660</v>
      </c>
      <c r="I550" s="112" t="s">
        <v>109</v>
      </c>
      <c r="J550" s="128"/>
      <c r="K550" s="129">
        <v>11</v>
      </c>
      <c r="L550" s="189">
        <v>3269.83</v>
      </c>
      <c r="M550" s="112" t="s">
        <v>22</v>
      </c>
      <c r="N550" s="112">
        <v>0</v>
      </c>
      <c r="O550" s="212" t="str">
        <f>IF(VEND[[#This Row],[STATUS]]="O.C",(VEND[[#This Row],[Fecha Recibe
O.C]]+VEND[[#This Row],[Dias
entrega ]]),"")</f>
        <v/>
      </c>
      <c r="P550" s="216"/>
      <c r="Q550" s="129" t="str">
        <f>IFERROR(VEND[[#This Row],[Fecha de Despacho]]-VEND[[#This Row],[Fecha Estimada de Entrega a  Cliente]],"")</f>
        <v/>
      </c>
      <c r="R55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0" s="128" t="str">
        <f>IF(VEND[[#This Row],[STATUS]]="O.C","APROBADO",IF(VEND[[#This Row],[STATUS]]="PERDIDO","PERDIDO",IF(VEND[[#This Row],[STATUS]]="EN ESPERA","EN ESPERA")))</f>
        <v>EN ESPERA</v>
      </c>
      <c r="T550" s="128" t="str">
        <f>IF(VEND[[#This Row],[STATUS]]="O.C","APROBADO",IF(VEND[[#This Row],[STATUS]]="PERDIDO","PERDIDO",IF(VEND[[#This Row],[STATUS]]="EN ESPERA","EN ESPERA")))</f>
        <v>EN ESPERA</v>
      </c>
      <c r="U550" s="112" t="s">
        <v>23</v>
      </c>
      <c r="V550" s="112" t="s">
        <v>23</v>
      </c>
      <c r="W550" s="112" t="s">
        <v>1401</v>
      </c>
      <c r="X550" s="128"/>
    </row>
    <row r="551" spans="2:24" ht="15.75" x14ac:dyDescent="0.25">
      <c r="B551" s="126">
        <v>44343</v>
      </c>
      <c r="C551" s="188" t="str">
        <f>TEXT(VEND[[#This Row],[Fecha de Envío
Cotización]],"mmmm")</f>
        <v>mayo</v>
      </c>
      <c r="D551" s="66" t="s">
        <v>41</v>
      </c>
      <c r="E551" s="190" t="s">
        <v>88</v>
      </c>
      <c r="F551" s="125" t="str">
        <f>IF(VEND[[#This Row],[STATUS]]="PERDIDO","N/A","En espera")</f>
        <v>En espera</v>
      </c>
      <c r="G551" s="127" t="str">
        <f>TEXT(VEND[[#This Row],[Fecha Recibe
O.C]],"mmmm")</f>
        <v>En espera</v>
      </c>
      <c r="H551" s="128">
        <v>3529</v>
      </c>
      <c r="I551" s="112" t="s">
        <v>329</v>
      </c>
      <c r="J551" s="128"/>
      <c r="K551" s="129">
        <v>2</v>
      </c>
      <c r="L551" s="189">
        <v>963.14</v>
      </c>
      <c r="M551" s="112" t="s">
        <v>73</v>
      </c>
      <c r="N551" s="112">
        <v>14</v>
      </c>
      <c r="O551" s="212" t="str">
        <f>IF(VEND[[#This Row],[STATUS]]="O.C",(VEND[[#This Row],[Fecha Recibe
O.C]]+VEND[[#This Row],[Dias
entrega ]]),"")</f>
        <v/>
      </c>
      <c r="P551" s="216"/>
      <c r="Q551" s="129" t="str">
        <f>IFERROR(VEND[[#This Row],[Fecha de Despacho]]-VEND[[#This Row],[Fecha Estimada de Entrega a  Cliente]],"")</f>
        <v/>
      </c>
      <c r="R55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1" s="128" t="str">
        <f>IF(VEND[[#This Row],[STATUS]]="O.C","APROBADO",IF(VEND[[#This Row],[STATUS]]="PERDIDO","PERDIDO",IF(VEND[[#This Row],[STATUS]]="EN ESPERA","EN ESPERA")))</f>
        <v>EN ESPERA</v>
      </c>
      <c r="T551" s="128" t="str">
        <f>IF(VEND[[#This Row],[STATUS]]="O.C","APROBADO",IF(VEND[[#This Row],[STATUS]]="PERDIDO","PERDIDO",IF(VEND[[#This Row],[STATUS]]="EN ESPERA","EN ESPERA")))</f>
        <v>EN ESPERA</v>
      </c>
      <c r="U551" s="112" t="s">
        <v>23</v>
      </c>
      <c r="V551" s="112" t="s">
        <v>23</v>
      </c>
      <c r="W551" s="112" t="s">
        <v>1405</v>
      </c>
      <c r="X551" s="128"/>
    </row>
    <row r="552" spans="2:24" ht="15.75" x14ac:dyDescent="0.25">
      <c r="B552" s="126">
        <v>44344</v>
      </c>
      <c r="C552" s="188" t="str">
        <f>TEXT(VEND[[#This Row],[Fecha de Envío
Cotización]],"mmmm")</f>
        <v>mayo</v>
      </c>
      <c r="D552" s="66" t="s">
        <v>50</v>
      </c>
      <c r="E552" s="190" t="s">
        <v>88</v>
      </c>
      <c r="F552" s="125" t="str">
        <f>IF(VEND[[#This Row],[STATUS]]="PERDIDO","N/A","En espera")</f>
        <v>En espera</v>
      </c>
      <c r="G552" s="127" t="str">
        <f>TEXT(VEND[[#This Row],[Fecha Recibe
O.C]],"mmmm")</f>
        <v>En espera</v>
      </c>
      <c r="H552" s="128">
        <v>663</v>
      </c>
      <c r="I552" s="112" t="s">
        <v>283</v>
      </c>
      <c r="J552" s="128"/>
      <c r="K552" s="129">
        <v>1</v>
      </c>
      <c r="L552" s="189">
        <v>1833.23</v>
      </c>
      <c r="M552" s="112" t="s">
        <v>16</v>
      </c>
      <c r="N552" s="112">
        <v>21</v>
      </c>
      <c r="O552" s="212" t="str">
        <f>IF(VEND[[#This Row],[STATUS]]="O.C",(VEND[[#This Row],[Fecha Recibe
O.C]]+VEND[[#This Row],[Dias
entrega ]]),"")</f>
        <v/>
      </c>
      <c r="P552" s="216"/>
      <c r="Q552" s="129" t="str">
        <f>IFERROR(VEND[[#This Row],[Fecha de Despacho]]-VEND[[#This Row],[Fecha Estimada de Entrega a  Cliente]],"")</f>
        <v/>
      </c>
      <c r="R55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2" s="128" t="str">
        <f>IF(VEND[[#This Row],[STATUS]]="O.C","APROBADO",IF(VEND[[#This Row],[STATUS]]="PERDIDO","PERDIDO",IF(VEND[[#This Row],[STATUS]]="EN ESPERA","EN ESPERA")))</f>
        <v>EN ESPERA</v>
      </c>
      <c r="T552" s="128" t="str">
        <f>IF(VEND[[#This Row],[STATUS]]="O.C","APROBADO",IF(VEND[[#This Row],[STATUS]]="PERDIDO","PERDIDO",IF(VEND[[#This Row],[STATUS]]="EN ESPERA","EN ESPERA")))</f>
        <v>EN ESPERA</v>
      </c>
      <c r="U552" s="112" t="s">
        <v>23</v>
      </c>
      <c r="V552" s="112" t="s">
        <v>23</v>
      </c>
      <c r="W552" s="112" t="s">
        <v>1402</v>
      </c>
      <c r="X552" s="128"/>
    </row>
    <row r="553" spans="2:24" ht="15.75" x14ac:dyDescent="0.25">
      <c r="B553" s="126">
        <v>44344</v>
      </c>
      <c r="C553" s="188" t="str">
        <f>TEXT(VEND[[#This Row],[Fecha de Envío
Cotización]],"mmmm")</f>
        <v>mayo</v>
      </c>
      <c r="D553" s="66" t="s">
        <v>50</v>
      </c>
      <c r="E553" s="190" t="s">
        <v>83</v>
      </c>
      <c r="F553" s="125">
        <v>44356</v>
      </c>
      <c r="G553" s="127" t="str">
        <f>TEXT(VEND[[#This Row],[Fecha Recibe
O.C]],"mmmm")</f>
        <v>junio</v>
      </c>
      <c r="H553" s="128">
        <v>664</v>
      </c>
      <c r="I553" s="112" t="s">
        <v>1782</v>
      </c>
      <c r="J553" s="128"/>
      <c r="K553" s="129">
        <v>1</v>
      </c>
      <c r="L553" s="189">
        <v>500</v>
      </c>
      <c r="M553" s="112" t="s">
        <v>51</v>
      </c>
      <c r="N553" s="112">
        <v>21</v>
      </c>
      <c r="O553" s="212">
        <f>IF(VEND[[#This Row],[STATUS]]="O.C",(VEND[[#This Row],[Fecha Recibe
O.C]]+VEND[[#This Row],[Dias
entrega ]]),"")</f>
        <v>44377</v>
      </c>
      <c r="P553" s="216"/>
      <c r="Q553" s="129">
        <f>IFERROR(VEND[[#This Row],[Fecha de Despacho]]-VEND[[#This Row],[Fecha Estimada de Entrega a  Cliente]],"")</f>
        <v>-44377</v>
      </c>
      <c r="R55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3" s="128" t="str">
        <f>IF(VEND[[#This Row],[STATUS]]="O.C","APROBADO",IF(VEND[[#This Row],[STATUS]]="PERDIDO","PERDIDO",IF(VEND[[#This Row],[STATUS]]="EN ESPERA","EN ESPERA")))</f>
        <v>APROBADO</v>
      </c>
      <c r="T553" s="128" t="str">
        <f>IF(VEND[[#This Row],[STATUS]]="O.C","APROBADO",IF(VEND[[#This Row],[STATUS]]="PERDIDO","PERDIDO",IF(VEND[[#This Row],[STATUS]]="EN ESPERA","EN ESPERA")))</f>
        <v>APROBADO</v>
      </c>
      <c r="U553" s="112" t="s">
        <v>46</v>
      </c>
      <c r="V553" s="112" t="s">
        <v>46</v>
      </c>
      <c r="W553" s="112" t="s">
        <v>1401</v>
      </c>
      <c r="X553" s="128">
        <v>4500487515</v>
      </c>
    </row>
    <row r="554" spans="2:24" ht="15.75" x14ac:dyDescent="0.25">
      <c r="B554" s="126">
        <v>44344</v>
      </c>
      <c r="C554" s="188" t="str">
        <f>TEXT(VEND[[#This Row],[Fecha de Envío
Cotización]],"mmmm")</f>
        <v>mayo</v>
      </c>
      <c r="D554" s="66" t="s">
        <v>50</v>
      </c>
      <c r="E554" s="190" t="s">
        <v>88</v>
      </c>
      <c r="F554" s="125" t="str">
        <f>IF(VEND[[#This Row],[STATUS]]="PERDIDO","N/A","En espera")</f>
        <v>En espera</v>
      </c>
      <c r="G554" s="127" t="str">
        <f>TEXT(VEND[[#This Row],[Fecha Recibe
O.C]],"mmmm")</f>
        <v>En espera</v>
      </c>
      <c r="H554" s="128">
        <v>665</v>
      </c>
      <c r="I554" s="112" t="s">
        <v>1786</v>
      </c>
      <c r="J554" s="128"/>
      <c r="K554" s="129">
        <v>2</v>
      </c>
      <c r="L554" s="189">
        <v>675.34</v>
      </c>
      <c r="M554" s="112" t="s">
        <v>22</v>
      </c>
      <c r="N554" s="112">
        <v>0</v>
      </c>
      <c r="O554" s="212" t="str">
        <f>IF(VEND[[#This Row],[STATUS]]="O.C",(VEND[[#This Row],[Fecha Recibe
O.C]]+VEND[[#This Row],[Dias
entrega ]]),"")</f>
        <v/>
      </c>
      <c r="P554" s="216"/>
      <c r="Q554" s="129" t="str">
        <f>IFERROR(VEND[[#This Row],[Fecha de Despacho]]-VEND[[#This Row],[Fecha Estimada de Entrega a  Cliente]],"")</f>
        <v/>
      </c>
      <c r="R55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4" s="128" t="str">
        <f>IF(VEND[[#This Row],[STATUS]]="O.C","APROBADO",IF(VEND[[#This Row],[STATUS]]="PERDIDO","PERDIDO",IF(VEND[[#This Row],[STATUS]]="EN ESPERA","EN ESPERA")))</f>
        <v>EN ESPERA</v>
      </c>
      <c r="T554" s="128" t="str">
        <f>IF(VEND[[#This Row],[STATUS]]="O.C","APROBADO",IF(VEND[[#This Row],[STATUS]]="PERDIDO","PERDIDO",IF(VEND[[#This Row],[STATUS]]="EN ESPERA","EN ESPERA")))</f>
        <v>EN ESPERA</v>
      </c>
      <c r="U554" s="112" t="s">
        <v>23</v>
      </c>
      <c r="V554" s="112" t="s">
        <v>23</v>
      </c>
      <c r="W554" s="112" t="s">
        <v>1401</v>
      </c>
      <c r="X554" s="128"/>
    </row>
    <row r="555" spans="2:24" ht="15.75" x14ac:dyDescent="0.25">
      <c r="B555" s="71">
        <v>44344</v>
      </c>
      <c r="C555" s="195" t="str">
        <f>TEXT(VEND[[#This Row],[Fecha de Envío
Cotización]],"mmmm")</f>
        <v>mayo</v>
      </c>
      <c r="D555" s="66" t="s">
        <v>1163</v>
      </c>
      <c r="E555" s="190" t="s">
        <v>88</v>
      </c>
      <c r="F555" s="125" t="str">
        <f>IF(VEND[[#This Row],[STATUS]]="PERDIDO","N/A","En espera")</f>
        <v>En espera</v>
      </c>
      <c r="G555" s="93" t="str">
        <f>TEXT(VEND[[#This Row],[Fecha Recibe
O.C]],"mmmm")</f>
        <v>En espera</v>
      </c>
      <c r="H555" s="112">
        <v>666</v>
      </c>
      <c r="I555" s="112" t="s">
        <v>1241</v>
      </c>
      <c r="J555" s="112"/>
      <c r="K555" s="58">
        <v>3</v>
      </c>
      <c r="L555" s="123">
        <v>2824.54</v>
      </c>
      <c r="M555" s="112"/>
      <c r="N555" s="112"/>
      <c r="O555" s="212" t="str">
        <f>IF(VEND[[#This Row],[STATUS]]="O.C",(VEND[[#This Row],[Fecha Recibe
O.C]]+VEND[[#This Row],[Dias
entrega ]]),"")</f>
        <v/>
      </c>
      <c r="P555" s="212"/>
      <c r="Q555" s="58" t="str">
        <f>IFERROR(VEND[[#This Row],[Fecha de Despacho]]-VEND[[#This Row],[Fecha Estimada de Entrega a  Cliente]],"")</f>
        <v/>
      </c>
      <c r="R55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5" s="112" t="str">
        <f>IF(VEND[[#This Row],[STATUS]]="O.C","APROBADO",IF(VEND[[#This Row],[STATUS]]="PERDIDO","PERDIDO",IF(VEND[[#This Row],[STATUS]]="EN ESPERA","EN ESPERA")))</f>
        <v>EN ESPERA</v>
      </c>
      <c r="T555" s="112" t="str">
        <f>IF(VEND[[#This Row],[STATUS]]="O.C","APROBADO",IF(VEND[[#This Row],[STATUS]]="PERDIDO","PERDIDO",IF(VEND[[#This Row],[STATUS]]="EN ESPERA","EN ESPERA")))</f>
        <v>EN ESPERA</v>
      </c>
      <c r="U555" s="112" t="s">
        <v>23</v>
      </c>
      <c r="V555" s="112" t="s">
        <v>23</v>
      </c>
      <c r="W555" s="112" t="s">
        <v>1409</v>
      </c>
      <c r="X555" s="112"/>
    </row>
    <row r="556" spans="2:24" ht="15.75" x14ac:dyDescent="0.25">
      <c r="B556" s="126">
        <v>44344</v>
      </c>
      <c r="C556" s="188" t="str">
        <f>TEXT(VEND[[#This Row],[Fecha de Envío
Cotización]],"mmmm")</f>
        <v>mayo</v>
      </c>
      <c r="D556" s="66" t="s">
        <v>50</v>
      </c>
      <c r="E556" s="190" t="s">
        <v>88</v>
      </c>
      <c r="F556" s="125" t="str">
        <f>IF(VEND[[#This Row],[STATUS]]="PERDIDO","N/A","En espera")</f>
        <v>En espera</v>
      </c>
      <c r="G556" s="127" t="str">
        <f>TEXT(VEND[[#This Row],[Fecha Recibe
O.C]],"mmmm")</f>
        <v>En espera</v>
      </c>
      <c r="H556" s="128">
        <v>667</v>
      </c>
      <c r="I556" s="112" t="s">
        <v>1782</v>
      </c>
      <c r="J556" s="128"/>
      <c r="K556" s="129">
        <v>1</v>
      </c>
      <c r="L556" s="189">
        <v>1063.76</v>
      </c>
      <c r="M556" s="112" t="s">
        <v>104</v>
      </c>
      <c r="N556" s="112">
        <v>5</v>
      </c>
      <c r="O556" s="212" t="str">
        <f>IF(VEND[[#This Row],[STATUS]]="O.C",(VEND[[#This Row],[Fecha Recibe
O.C]]+VEND[[#This Row],[Dias
entrega ]]),"")</f>
        <v/>
      </c>
      <c r="P556" s="216"/>
      <c r="Q556" s="129" t="str">
        <f>IFERROR(VEND[[#This Row],[Fecha de Despacho]]-VEND[[#This Row],[Fecha Estimada de Entrega a  Cliente]],"")</f>
        <v/>
      </c>
      <c r="R55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6" s="128" t="str">
        <f>IF(VEND[[#This Row],[STATUS]]="O.C","APROBADO",IF(VEND[[#This Row],[STATUS]]="PERDIDO","PERDIDO",IF(VEND[[#This Row],[STATUS]]="EN ESPERA","EN ESPERA")))</f>
        <v>EN ESPERA</v>
      </c>
      <c r="T556" s="128" t="str">
        <f>IF(VEND[[#This Row],[STATUS]]="O.C","APROBADO",IF(VEND[[#This Row],[STATUS]]="PERDIDO","PERDIDO",IF(VEND[[#This Row],[STATUS]]="EN ESPERA","EN ESPERA")))</f>
        <v>EN ESPERA</v>
      </c>
      <c r="U556" s="112" t="s">
        <v>23</v>
      </c>
      <c r="V556" s="112" t="s">
        <v>23</v>
      </c>
      <c r="W556" s="112" t="s">
        <v>1401</v>
      </c>
      <c r="X556" s="128"/>
    </row>
    <row r="557" spans="2:24" ht="15.75" x14ac:dyDescent="0.25">
      <c r="B557" s="126">
        <v>44344</v>
      </c>
      <c r="C557" s="188" t="str">
        <f>TEXT(VEND[[#This Row],[Fecha de Envío
Cotización]],"mmmm")</f>
        <v>mayo</v>
      </c>
      <c r="D557" s="66" t="s">
        <v>50</v>
      </c>
      <c r="E557" s="190" t="s">
        <v>88</v>
      </c>
      <c r="F557" s="125" t="str">
        <f>IF(VEND[[#This Row],[STATUS]]="PERDIDO","N/A","En espera")</f>
        <v>En espera</v>
      </c>
      <c r="G557" s="127" t="str">
        <f>TEXT(VEND[[#This Row],[Fecha Recibe
O.C]],"mmmm")</f>
        <v>En espera</v>
      </c>
      <c r="H557" s="128">
        <v>668</v>
      </c>
      <c r="I557" s="112" t="s">
        <v>283</v>
      </c>
      <c r="J557" s="128"/>
      <c r="K557" s="129">
        <v>1</v>
      </c>
      <c r="L557" s="189">
        <v>744.21</v>
      </c>
      <c r="M557" s="112" t="s">
        <v>16</v>
      </c>
      <c r="N557" s="112">
        <v>21</v>
      </c>
      <c r="O557" s="212" t="str">
        <f>IF(VEND[[#This Row],[STATUS]]="O.C",(VEND[[#This Row],[Fecha Recibe
O.C]]+VEND[[#This Row],[Dias
entrega ]]),"")</f>
        <v/>
      </c>
      <c r="P557" s="216"/>
      <c r="Q557" s="129" t="str">
        <f>IFERROR(VEND[[#This Row],[Fecha de Despacho]]-VEND[[#This Row],[Fecha Estimada de Entrega a  Cliente]],"")</f>
        <v/>
      </c>
      <c r="R55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7" s="128" t="str">
        <f>IF(VEND[[#This Row],[STATUS]]="O.C","APROBADO",IF(VEND[[#This Row],[STATUS]]="PERDIDO","PERDIDO",IF(VEND[[#This Row],[STATUS]]="EN ESPERA","EN ESPERA")))</f>
        <v>EN ESPERA</v>
      </c>
      <c r="T557" s="128" t="str">
        <f>IF(VEND[[#This Row],[STATUS]]="O.C","APROBADO",IF(VEND[[#This Row],[STATUS]]="PERDIDO","PERDIDO",IF(VEND[[#This Row],[STATUS]]="EN ESPERA","EN ESPERA")))</f>
        <v>EN ESPERA</v>
      </c>
      <c r="U557" s="112" t="s">
        <v>23</v>
      </c>
      <c r="V557" s="112" t="s">
        <v>23</v>
      </c>
      <c r="W557" s="112" t="s">
        <v>1658</v>
      </c>
      <c r="X557" s="128"/>
    </row>
    <row r="558" spans="2:24" ht="15.75" x14ac:dyDescent="0.25">
      <c r="B558" s="71">
        <v>44344</v>
      </c>
      <c r="C558" s="195" t="str">
        <f>TEXT(VEND[[#This Row],[Fecha de Envío
Cotización]],"mmmm")</f>
        <v>mayo</v>
      </c>
      <c r="D558" s="66" t="s">
        <v>50</v>
      </c>
      <c r="E558" s="190" t="s">
        <v>88</v>
      </c>
      <c r="F558" s="125" t="str">
        <f>IF(VEND[[#This Row],[STATUS]]="PERDIDO","N/A","En espera")</f>
        <v>En espera</v>
      </c>
      <c r="G558" s="93" t="str">
        <f>TEXT(VEND[[#This Row],[Fecha Recibe
O.C]],"mmmm")</f>
        <v>En espera</v>
      </c>
      <c r="H558" s="112">
        <v>669</v>
      </c>
      <c r="I558" s="112" t="s">
        <v>283</v>
      </c>
      <c r="J558" s="112"/>
      <c r="K558" s="58">
        <v>1</v>
      </c>
      <c r="L558" s="123">
        <v>6129.24</v>
      </c>
      <c r="M558" s="112" t="s">
        <v>124</v>
      </c>
      <c r="N558" s="112">
        <v>35</v>
      </c>
      <c r="O558" s="212" t="str">
        <f>IF(VEND[[#This Row],[STATUS]]="O.C",(VEND[[#This Row],[Fecha Recibe
O.C]]+VEND[[#This Row],[Dias
entrega ]]),"")</f>
        <v/>
      </c>
      <c r="P558" s="212"/>
      <c r="Q558" s="58" t="str">
        <f>IFERROR(VEND[[#This Row],[Fecha de Despacho]]-VEND[[#This Row],[Fecha Estimada de Entrega a  Cliente]],"")</f>
        <v/>
      </c>
      <c r="R55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8" s="112" t="str">
        <f>IF(VEND[[#This Row],[STATUS]]="O.C","APROBADO",IF(VEND[[#This Row],[STATUS]]="PERDIDO","PERDIDO",IF(VEND[[#This Row],[STATUS]]="EN ESPERA","EN ESPERA")))</f>
        <v>EN ESPERA</v>
      </c>
      <c r="T558" s="112" t="str">
        <f>IF(VEND[[#This Row],[STATUS]]="O.C","APROBADO",IF(VEND[[#This Row],[STATUS]]="PERDIDO","PERDIDO",IF(VEND[[#This Row],[STATUS]]="EN ESPERA","EN ESPERA")))</f>
        <v>EN ESPERA</v>
      </c>
      <c r="U558" s="112" t="s">
        <v>23</v>
      </c>
      <c r="V558" s="112" t="s">
        <v>23</v>
      </c>
      <c r="W558" s="112" t="s">
        <v>1402</v>
      </c>
      <c r="X558" s="112"/>
    </row>
    <row r="559" spans="2:24" ht="15.75" x14ac:dyDescent="0.25">
      <c r="B559" s="126">
        <v>44344</v>
      </c>
      <c r="C559" s="188" t="str">
        <f>TEXT(VEND[[#This Row],[Fecha de Envío
Cotización]],"mmmm")</f>
        <v>mayo</v>
      </c>
      <c r="D559" s="66" t="s">
        <v>68</v>
      </c>
      <c r="E559" s="190" t="s">
        <v>88</v>
      </c>
      <c r="F559" s="125" t="str">
        <f>IF(VEND[[#This Row],[STATUS]]="PERDIDO","N/A","En espera")</f>
        <v>En espera</v>
      </c>
      <c r="G559" s="127" t="str">
        <f>TEXT(VEND[[#This Row],[Fecha Recibe
O.C]],"mmmm")</f>
        <v>En espera</v>
      </c>
      <c r="H559" s="128">
        <v>670</v>
      </c>
      <c r="I559" s="112" t="s">
        <v>109</v>
      </c>
      <c r="J559" s="128"/>
      <c r="K559" s="129">
        <v>1</v>
      </c>
      <c r="L559" s="189">
        <v>2967.26</v>
      </c>
      <c r="M559" s="112" t="s">
        <v>22</v>
      </c>
      <c r="N559" s="112">
        <v>0</v>
      </c>
      <c r="O559" s="212" t="str">
        <f>IF(VEND[[#This Row],[STATUS]]="O.C",(VEND[[#This Row],[Fecha Recibe
O.C]]+VEND[[#This Row],[Dias
entrega ]]),"")</f>
        <v/>
      </c>
      <c r="P559" s="216"/>
      <c r="Q559" s="129" t="str">
        <f>IFERROR(VEND[[#This Row],[Fecha de Despacho]]-VEND[[#This Row],[Fecha Estimada de Entrega a  Cliente]],"")</f>
        <v/>
      </c>
      <c r="R55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59" s="128" t="str">
        <f>IF(VEND[[#This Row],[STATUS]]="O.C","APROBADO",IF(VEND[[#This Row],[STATUS]]="PERDIDO","PERDIDO",IF(VEND[[#This Row],[STATUS]]="EN ESPERA","EN ESPERA")))</f>
        <v>EN ESPERA</v>
      </c>
      <c r="T559" s="128" t="str">
        <f>IF(VEND[[#This Row],[STATUS]]="O.C","APROBADO",IF(VEND[[#This Row],[STATUS]]="PERDIDO","PERDIDO",IF(VEND[[#This Row],[STATUS]]="EN ESPERA","EN ESPERA")))</f>
        <v>EN ESPERA</v>
      </c>
      <c r="U559" s="112" t="s">
        <v>23</v>
      </c>
      <c r="V559" s="112" t="s">
        <v>23</v>
      </c>
      <c r="W559" s="112" t="s">
        <v>1401</v>
      </c>
      <c r="X559" s="128"/>
    </row>
    <row r="560" spans="2:24" ht="15.75" x14ac:dyDescent="0.25">
      <c r="B560" s="126">
        <v>44344</v>
      </c>
      <c r="C560" s="188" t="str">
        <f>TEXT(VEND[[#This Row],[Fecha de Envío
Cotización]],"mmmm")</f>
        <v>mayo</v>
      </c>
      <c r="D560" s="66" t="s">
        <v>41</v>
      </c>
      <c r="E560" s="190" t="s">
        <v>88</v>
      </c>
      <c r="F560" s="125" t="str">
        <f>IF(VEND[[#This Row],[STATUS]]="PERDIDO","N/A","En espera")</f>
        <v>En espera</v>
      </c>
      <c r="G560" s="127" t="str">
        <f>TEXT(VEND[[#This Row],[Fecha Recibe
O.C]],"mmmm")</f>
        <v>En espera</v>
      </c>
      <c r="H560" s="128">
        <v>3528</v>
      </c>
      <c r="I560" s="112" t="s">
        <v>76</v>
      </c>
      <c r="J560" s="128"/>
      <c r="K560" s="129">
        <v>1</v>
      </c>
      <c r="L560" s="189">
        <v>25145.35</v>
      </c>
      <c r="M560" s="112" t="s">
        <v>134</v>
      </c>
      <c r="N560" s="112">
        <v>28</v>
      </c>
      <c r="O560" s="212" t="str">
        <f>IF(VEND[[#This Row],[STATUS]]="O.C",(VEND[[#This Row],[Fecha Recibe
O.C]]+VEND[[#This Row],[Dias
entrega ]]),"")</f>
        <v/>
      </c>
      <c r="P560" s="216"/>
      <c r="Q560" s="129" t="str">
        <f>IFERROR(VEND[[#This Row],[Fecha de Despacho]]-VEND[[#This Row],[Fecha Estimada de Entrega a  Cliente]],"")</f>
        <v/>
      </c>
      <c r="R56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0" s="128" t="str">
        <f>IF(VEND[[#This Row],[STATUS]]="O.C","APROBADO",IF(VEND[[#This Row],[STATUS]]="PERDIDO","PERDIDO",IF(VEND[[#This Row],[STATUS]]="EN ESPERA","EN ESPERA")))</f>
        <v>EN ESPERA</v>
      </c>
      <c r="T560" s="128" t="str">
        <f>IF(VEND[[#This Row],[STATUS]]="O.C","APROBADO",IF(VEND[[#This Row],[STATUS]]="PERDIDO","PERDIDO",IF(VEND[[#This Row],[STATUS]]="EN ESPERA","EN ESPERA")))</f>
        <v>EN ESPERA</v>
      </c>
      <c r="U560" s="112" t="s">
        <v>23</v>
      </c>
      <c r="V560" s="112" t="s">
        <v>23</v>
      </c>
      <c r="W560" s="112" t="s">
        <v>1402</v>
      </c>
      <c r="X560" s="128"/>
    </row>
    <row r="561" spans="2:24" ht="15.75" x14ac:dyDescent="0.25">
      <c r="B561" s="126">
        <v>44344</v>
      </c>
      <c r="C561" s="188" t="str">
        <f>TEXT(VEND[[#This Row],[Fecha de Envío
Cotización]],"mmmm")</f>
        <v>mayo</v>
      </c>
      <c r="D561" s="66" t="s">
        <v>945</v>
      </c>
      <c r="E561" s="190" t="s">
        <v>88</v>
      </c>
      <c r="F561" s="125" t="str">
        <f>IF(VEND[[#This Row],[STATUS]]="PERDIDO","N/A","En espera")</f>
        <v>En espera</v>
      </c>
      <c r="G561" s="127" t="str">
        <f>TEXT(VEND[[#This Row],[Fecha Recibe
O.C]],"mmmm")</f>
        <v>En espera</v>
      </c>
      <c r="H561" s="128">
        <v>6043</v>
      </c>
      <c r="I561" s="112" t="s">
        <v>31</v>
      </c>
      <c r="J561" s="128"/>
      <c r="K561" s="129">
        <v>1</v>
      </c>
      <c r="L561" s="189">
        <v>3306.6</v>
      </c>
      <c r="M561" s="112" t="s">
        <v>16</v>
      </c>
      <c r="N561" s="112">
        <v>21</v>
      </c>
      <c r="O561" s="212" t="str">
        <f>IF(VEND[[#This Row],[STATUS]]="O.C",(VEND[[#This Row],[Fecha Recibe
O.C]]+VEND[[#This Row],[Dias
entrega ]]),"")</f>
        <v/>
      </c>
      <c r="P561" s="216"/>
      <c r="Q561" s="129" t="str">
        <f>IFERROR(VEND[[#This Row],[Fecha de Despacho]]-VEND[[#This Row],[Fecha Estimada de Entrega a  Cliente]],"")</f>
        <v/>
      </c>
      <c r="R56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1" s="128" t="str">
        <f>IF(VEND[[#This Row],[STATUS]]="O.C","APROBADO",IF(VEND[[#This Row],[STATUS]]="PERDIDO","PERDIDO",IF(VEND[[#This Row],[STATUS]]="EN ESPERA","EN ESPERA")))</f>
        <v>EN ESPERA</v>
      </c>
      <c r="T561" s="128" t="str">
        <f>IF(VEND[[#This Row],[STATUS]]="O.C","APROBADO",IF(VEND[[#This Row],[STATUS]]="PERDIDO","PERDIDO",IF(VEND[[#This Row],[STATUS]]="EN ESPERA","EN ESPERA")))</f>
        <v>EN ESPERA</v>
      </c>
      <c r="U561" s="112" t="s">
        <v>23</v>
      </c>
      <c r="V561" s="112" t="s">
        <v>23</v>
      </c>
      <c r="W561" s="112" t="s">
        <v>1410</v>
      </c>
      <c r="X561" s="128"/>
    </row>
    <row r="562" spans="2:24" ht="15.75" x14ac:dyDescent="0.25">
      <c r="B562" s="126">
        <v>44344</v>
      </c>
      <c r="C562" s="188" t="str">
        <f>TEXT(VEND[[#This Row],[Fecha de Envío
Cotización]],"mmmm")</f>
        <v>mayo</v>
      </c>
      <c r="D562" s="66" t="s">
        <v>945</v>
      </c>
      <c r="E562" s="190" t="s">
        <v>88</v>
      </c>
      <c r="F562" s="125" t="str">
        <f>IF(VEND[[#This Row],[STATUS]]="PERDIDO","N/A","En espera")</f>
        <v>En espera</v>
      </c>
      <c r="G562" s="127" t="str">
        <f>TEXT(VEND[[#This Row],[Fecha Recibe
O.C]],"mmmm")</f>
        <v>En espera</v>
      </c>
      <c r="H562" s="128">
        <v>6045</v>
      </c>
      <c r="I562" s="112" t="s">
        <v>31</v>
      </c>
      <c r="J562" s="128"/>
      <c r="K562" s="129">
        <v>1</v>
      </c>
      <c r="L562" s="189">
        <v>977.13</v>
      </c>
      <c r="M562" s="154" t="s">
        <v>22</v>
      </c>
      <c r="N562" s="112">
        <v>0</v>
      </c>
      <c r="O562" s="212" t="str">
        <f>IF(VEND[[#This Row],[STATUS]]="O.C",(VEND[[#This Row],[Fecha Recibe
O.C]]+VEND[[#This Row],[Dias
entrega ]]),"")</f>
        <v/>
      </c>
      <c r="P562" s="216"/>
      <c r="Q562" s="129" t="str">
        <f>IFERROR(VEND[[#This Row],[Fecha de Despacho]]-VEND[[#This Row],[Fecha Estimada de Entrega a  Cliente]],"")</f>
        <v/>
      </c>
      <c r="R56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2" s="128" t="str">
        <f>IF(VEND[[#This Row],[STATUS]]="O.C","APROBADO",IF(VEND[[#This Row],[STATUS]]="PERDIDO","PERDIDO",IF(VEND[[#This Row],[STATUS]]="EN ESPERA","EN ESPERA")))</f>
        <v>EN ESPERA</v>
      </c>
      <c r="T562" s="128" t="str">
        <f>IF(VEND[[#This Row],[STATUS]]="O.C","APROBADO",IF(VEND[[#This Row],[STATUS]]="PERDIDO","PERDIDO",IF(VEND[[#This Row],[STATUS]]="EN ESPERA","EN ESPERA")))</f>
        <v>EN ESPERA</v>
      </c>
      <c r="U562" s="112" t="s">
        <v>23</v>
      </c>
      <c r="V562" s="112" t="s">
        <v>23</v>
      </c>
      <c r="W562" s="112" t="s">
        <v>1410</v>
      </c>
      <c r="X562" s="128"/>
    </row>
    <row r="563" spans="2:24" ht="15.75" x14ac:dyDescent="0.25">
      <c r="B563" s="126">
        <v>44344</v>
      </c>
      <c r="C563" s="188" t="str">
        <f>TEXT(VEND[[#This Row],[Fecha de Envío
Cotización]],"mmmm")</f>
        <v>mayo</v>
      </c>
      <c r="D563" s="66" t="s">
        <v>945</v>
      </c>
      <c r="E563" s="190" t="s">
        <v>88</v>
      </c>
      <c r="F563" s="125" t="str">
        <f>IF(VEND[[#This Row],[STATUS]]="PERDIDO","N/A","En espera")</f>
        <v>En espera</v>
      </c>
      <c r="G563" s="127" t="str">
        <f>TEXT(VEND[[#This Row],[Fecha Recibe
O.C]],"mmmm")</f>
        <v>En espera</v>
      </c>
      <c r="H563" s="128">
        <v>6046</v>
      </c>
      <c r="I563" s="112" t="s">
        <v>31</v>
      </c>
      <c r="J563" s="128"/>
      <c r="K563" s="129">
        <v>1</v>
      </c>
      <c r="L563" s="189">
        <v>612.27</v>
      </c>
      <c r="M563" s="154" t="s">
        <v>16</v>
      </c>
      <c r="N563" s="112">
        <v>21</v>
      </c>
      <c r="O563" s="212" t="str">
        <f>IF(VEND[[#This Row],[STATUS]]="O.C",(VEND[[#This Row],[Fecha Recibe
O.C]]+VEND[[#This Row],[Dias
entrega ]]),"")</f>
        <v/>
      </c>
      <c r="P563" s="216"/>
      <c r="Q563" s="129" t="str">
        <f>IFERROR(VEND[[#This Row],[Fecha de Despacho]]-VEND[[#This Row],[Fecha Estimada de Entrega a  Cliente]],"")</f>
        <v/>
      </c>
      <c r="R56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3" s="128" t="str">
        <f>IF(VEND[[#This Row],[STATUS]]="O.C","APROBADO",IF(VEND[[#This Row],[STATUS]]="PERDIDO","PERDIDO",IF(VEND[[#This Row],[STATUS]]="EN ESPERA","EN ESPERA")))</f>
        <v>EN ESPERA</v>
      </c>
      <c r="T563" s="128" t="str">
        <f>IF(VEND[[#This Row],[STATUS]]="O.C","APROBADO",IF(VEND[[#This Row],[STATUS]]="PERDIDO","PERDIDO",IF(VEND[[#This Row],[STATUS]]="EN ESPERA","EN ESPERA")))</f>
        <v>EN ESPERA</v>
      </c>
      <c r="U563" s="112" t="s">
        <v>23</v>
      </c>
      <c r="V563" s="112" t="s">
        <v>23</v>
      </c>
      <c r="W563" s="112" t="s">
        <v>1410</v>
      </c>
      <c r="X563" s="128"/>
    </row>
    <row r="564" spans="2:24" ht="15.75" x14ac:dyDescent="0.25">
      <c r="B564" s="126">
        <v>44344</v>
      </c>
      <c r="C564" s="188" t="str">
        <f>TEXT(VEND[[#This Row],[Fecha de Envío
Cotización]],"mmmm")</f>
        <v>mayo</v>
      </c>
      <c r="D564" s="66" t="s">
        <v>945</v>
      </c>
      <c r="E564" s="190" t="s">
        <v>83</v>
      </c>
      <c r="F564" s="125">
        <v>44350</v>
      </c>
      <c r="G564" s="127" t="str">
        <f>TEXT(VEND[[#This Row],[Fecha Recibe
O.C]],"mmmm")</f>
        <v>junio</v>
      </c>
      <c r="H564" s="128">
        <v>6047</v>
      </c>
      <c r="I564" s="112" t="s">
        <v>31</v>
      </c>
      <c r="J564" s="128"/>
      <c r="K564" s="129">
        <v>9</v>
      </c>
      <c r="L564" s="189">
        <v>674.1</v>
      </c>
      <c r="M564" s="112" t="s">
        <v>22</v>
      </c>
      <c r="N564" s="112">
        <v>0</v>
      </c>
      <c r="O564" s="212">
        <f>IF(VEND[[#This Row],[STATUS]]="O.C",(VEND[[#This Row],[Fecha Recibe
O.C]]+VEND[[#This Row],[Dias
entrega ]]),"")</f>
        <v>44350</v>
      </c>
      <c r="P564" s="216">
        <v>44350</v>
      </c>
      <c r="Q564" s="129">
        <f>IFERROR(VEND[[#This Row],[Fecha de Despacho]]-VEND[[#This Row],[Fecha Estimada de Entrega a  Cliente]],"")</f>
        <v>0</v>
      </c>
      <c r="R56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4" s="128" t="str">
        <f>IF(VEND[[#This Row],[STATUS]]="O.C","APROBADO",IF(VEND[[#This Row],[STATUS]]="PERDIDO","PERDIDO",IF(VEND[[#This Row],[STATUS]]="EN ESPERA","EN ESPERA")))</f>
        <v>APROBADO</v>
      </c>
      <c r="T564" s="128" t="str">
        <f>IF(VEND[[#This Row],[STATUS]]="O.C","APROBADO",IF(VEND[[#This Row],[STATUS]]="PERDIDO","PERDIDO",IF(VEND[[#This Row],[STATUS]]="EN ESPERA","EN ESPERA")))</f>
        <v>APROBADO</v>
      </c>
      <c r="U564" s="112" t="s">
        <v>46</v>
      </c>
      <c r="V564" s="112" t="s">
        <v>46</v>
      </c>
      <c r="W564" s="112" t="s">
        <v>1410</v>
      </c>
      <c r="X564" s="112" t="s">
        <v>1893</v>
      </c>
    </row>
    <row r="565" spans="2:24" ht="15.75" x14ac:dyDescent="0.25">
      <c r="B565" s="126">
        <v>44344</v>
      </c>
      <c r="C565" s="188" t="str">
        <f>TEXT(VEND[[#This Row],[Fecha de Envío
Cotización]],"mmmm")</f>
        <v>mayo</v>
      </c>
      <c r="D565" s="66" t="s">
        <v>945</v>
      </c>
      <c r="E565" s="190" t="s">
        <v>83</v>
      </c>
      <c r="F565" s="125">
        <v>44344</v>
      </c>
      <c r="G565" s="127" t="str">
        <f>TEXT(VEND[[#This Row],[Fecha Recibe
O.C]],"mmmm")</f>
        <v>mayo</v>
      </c>
      <c r="H565" s="128">
        <v>6048</v>
      </c>
      <c r="I565" s="112" t="s">
        <v>1417</v>
      </c>
      <c r="J565" s="128"/>
      <c r="K565" s="129">
        <v>1</v>
      </c>
      <c r="L565" s="189">
        <v>5.9</v>
      </c>
      <c r="M565" s="112" t="s">
        <v>22</v>
      </c>
      <c r="N565" s="112">
        <v>0</v>
      </c>
      <c r="O565" s="212">
        <f>IF(VEND[[#This Row],[STATUS]]="O.C",(VEND[[#This Row],[Fecha Recibe
O.C]]+VEND[[#This Row],[Dias
entrega ]]),"")</f>
        <v>44344</v>
      </c>
      <c r="P565" s="216">
        <v>44344</v>
      </c>
      <c r="Q565" s="129">
        <f>IFERROR(VEND[[#This Row],[Fecha de Despacho]]-VEND[[#This Row],[Fecha Estimada de Entrega a  Cliente]],"")</f>
        <v>0</v>
      </c>
      <c r="R56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5" s="128" t="str">
        <f>IF(VEND[[#This Row],[STATUS]]="O.C","APROBADO",IF(VEND[[#This Row],[STATUS]]="PERDIDO","PERDIDO",IF(VEND[[#This Row],[STATUS]]="EN ESPERA","EN ESPERA")))</f>
        <v>APROBADO</v>
      </c>
      <c r="T565" s="128" t="str">
        <f>IF(VEND[[#This Row],[STATUS]]="O.C","APROBADO",IF(VEND[[#This Row],[STATUS]]="PERDIDO","PERDIDO",IF(VEND[[#This Row],[STATUS]]="EN ESPERA","EN ESPERA")))</f>
        <v>APROBADO</v>
      </c>
      <c r="U565" s="112" t="s">
        <v>45</v>
      </c>
      <c r="V565" s="112" t="s">
        <v>47</v>
      </c>
      <c r="W565" s="112" t="s">
        <v>1402</v>
      </c>
      <c r="X565" s="128"/>
    </row>
    <row r="566" spans="2:24" ht="15.75" x14ac:dyDescent="0.25">
      <c r="B566" s="71">
        <v>44347</v>
      </c>
      <c r="C566" s="195" t="str">
        <f>TEXT(VEND[[#This Row],[Fecha de Envío
Cotización]],"mmmm")</f>
        <v>mayo</v>
      </c>
      <c r="D566" s="66" t="s">
        <v>50</v>
      </c>
      <c r="E566" s="190" t="s">
        <v>88</v>
      </c>
      <c r="F566" s="125" t="str">
        <f>IF(VEND[[#This Row],[STATUS]]="PERDIDO","N/A","En espera")</f>
        <v>En espera</v>
      </c>
      <c r="G566" s="93" t="str">
        <f>TEXT(VEND[[#This Row],[Fecha Recibe
O.C]],"mmmm")</f>
        <v>En espera</v>
      </c>
      <c r="H566" s="112">
        <v>671</v>
      </c>
      <c r="I566" s="112" t="s">
        <v>33</v>
      </c>
      <c r="J566" s="112"/>
      <c r="K566" s="58">
        <v>6</v>
      </c>
      <c r="L566" s="123">
        <v>2633.99</v>
      </c>
      <c r="M566" s="112" t="s">
        <v>124</v>
      </c>
      <c r="N566" s="112">
        <v>35</v>
      </c>
      <c r="O566" s="212" t="str">
        <f>IF(VEND[[#This Row],[STATUS]]="O.C",(VEND[[#This Row],[Fecha Recibe
O.C]]+VEND[[#This Row],[Dias
entrega ]]),"")</f>
        <v/>
      </c>
      <c r="P566" s="212"/>
      <c r="Q566" s="58" t="str">
        <f>IFERROR(VEND[[#This Row],[Fecha de Despacho]]-VEND[[#This Row],[Fecha Estimada de Entrega a  Cliente]],"")</f>
        <v/>
      </c>
      <c r="R56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6" s="112" t="str">
        <f>IF(VEND[[#This Row],[STATUS]]="O.C","APROBADO",IF(VEND[[#This Row],[STATUS]]="PERDIDO","PERDIDO",IF(VEND[[#This Row],[STATUS]]="EN ESPERA","EN ESPERA")))</f>
        <v>EN ESPERA</v>
      </c>
      <c r="T566" s="112" t="str">
        <f>IF(VEND[[#This Row],[STATUS]]="O.C","APROBADO",IF(VEND[[#This Row],[STATUS]]="PERDIDO","PERDIDO",IF(VEND[[#This Row],[STATUS]]="EN ESPERA","EN ESPERA")))</f>
        <v>EN ESPERA</v>
      </c>
      <c r="U566" s="112" t="s">
        <v>23</v>
      </c>
      <c r="V566" s="112" t="s">
        <v>23</v>
      </c>
      <c r="W566" s="112" t="s">
        <v>1402</v>
      </c>
      <c r="X566" s="112"/>
    </row>
    <row r="567" spans="2:24" ht="15.75" x14ac:dyDescent="0.25">
      <c r="B567" s="71">
        <v>44347</v>
      </c>
      <c r="C567" s="195" t="str">
        <f>TEXT(VEND[[#This Row],[Fecha de Envío
Cotización]],"mmmm")</f>
        <v>mayo</v>
      </c>
      <c r="D567" s="66" t="s">
        <v>50</v>
      </c>
      <c r="E567" s="190" t="s">
        <v>88</v>
      </c>
      <c r="F567" s="125" t="str">
        <f>IF(VEND[[#This Row],[STATUS]]="PERDIDO","N/A","En espera")</f>
        <v>En espera</v>
      </c>
      <c r="G567" s="93" t="str">
        <f>TEXT(VEND[[#This Row],[Fecha Recibe
O.C]],"mmmm")</f>
        <v>En espera</v>
      </c>
      <c r="H567" s="112">
        <v>673</v>
      </c>
      <c r="I567" s="112" t="s">
        <v>283</v>
      </c>
      <c r="J567" s="112"/>
      <c r="K567" s="58">
        <v>1</v>
      </c>
      <c r="L567" s="123">
        <v>1092.52</v>
      </c>
      <c r="M567" s="112" t="s">
        <v>36</v>
      </c>
      <c r="N567" s="112">
        <v>28</v>
      </c>
      <c r="O567" s="212" t="str">
        <f>IF(VEND[[#This Row],[STATUS]]="O.C",(VEND[[#This Row],[Fecha Recibe
O.C]]+VEND[[#This Row],[Dias
entrega ]]),"")</f>
        <v/>
      </c>
      <c r="P567" s="212"/>
      <c r="Q567" s="58" t="str">
        <f>IFERROR(VEND[[#This Row],[Fecha de Despacho]]-VEND[[#This Row],[Fecha Estimada de Entrega a  Cliente]],"")</f>
        <v/>
      </c>
      <c r="R56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7" s="112" t="str">
        <f>IF(VEND[[#This Row],[STATUS]]="O.C","APROBADO",IF(VEND[[#This Row],[STATUS]]="PERDIDO","PERDIDO",IF(VEND[[#This Row],[STATUS]]="EN ESPERA","EN ESPERA")))</f>
        <v>EN ESPERA</v>
      </c>
      <c r="T567" s="112" t="str">
        <f>IF(VEND[[#This Row],[STATUS]]="O.C","APROBADO",IF(VEND[[#This Row],[STATUS]]="PERDIDO","PERDIDO",IF(VEND[[#This Row],[STATUS]]="EN ESPERA","EN ESPERA")))</f>
        <v>EN ESPERA</v>
      </c>
      <c r="U567" s="112" t="s">
        <v>23</v>
      </c>
      <c r="V567" s="112" t="s">
        <v>23</v>
      </c>
      <c r="W567" s="112" t="s">
        <v>1402</v>
      </c>
      <c r="X567" s="112"/>
    </row>
    <row r="568" spans="2:24" ht="15.75" x14ac:dyDescent="0.25">
      <c r="B568" s="71">
        <v>44347</v>
      </c>
      <c r="C568" s="195" t="str">
        <f>TEXT(VEND[[#This Row],[Fecha de Envío
Cotización]],"mmmm")</f>
        <v>mayo</v>
      </c>
      <c r="D568" s="66" t="s">
        <v>50</v>
      </c>
      <c r="E568" s="190" t="s">
        <v>88</v>
      </c>
      <c r="F568" s="125" t="str">
        <f>IF(VEND[[#This Row],[STATUS]]="PERDIDO","N/A","En espera")</f>
        <v>En espera</v>
      </c>
      <c r="G568" s="93" t="str">
        <f>TEXT(VEND[[#This Row],[Fecha Recibe
O.C]],"mmmm")</f>
        <v>En espera</v>
      </c>
      <c r="H568" s="112">
        <v>674</v>
      </c>
      <c r="I568" s="112" t="s">
        <v>33</v>
      </c>
      <c r="J568" s="112"/>
      <c r="K568" s="58">
        <v>4</v>
      </c>
      <c r="L568" s="123">
        <v>286.64</v>
      </c>
      <c r="M568" s="112" t="s">
        <v>36</v>
      </c>
      <c r="N568" s="112">
        <v>28</v>
      </c>
      <c r="O568" s="212" t="str">
        <f>IF(VEND[[#This Row],[STATUS]]="O.C",(VEND[[#This Row],[Fecha Recibe
O.C]]+VEND[[#This Row],[Dias
entrega ]]),"")</f>
        <v/>
      </c>
      <c r="P568" s="212"/>
      <c r="Q568" s="58" t="str">
        <f>IFERROR(VEND[[#This Row],[Fecha de Despacho]]-VEND[[#This Row],[Fecha Estimada de Entrega a  Cliente]],"")</f>
        <v/>
      </c>
      <c r="R56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8" s="112" t="str">
        <f>IF(VEND[[#This Row],[STATUS]]="O.C","APROBADO",IF(VEND[[#This Row],[STATUS]]="PERDIDO","PERDIDO",IF(VEND[[#This Row],[STATUS]]="EN ESPERA","EN ESPERA")))</f>
        <v>EN ESPERA</v>
      </c>
      <c r="T568" s="112" t="str">
        <f>IF(VEND[[#This Row],[STATUS]]="O.C","APROBADO",IF(VEND[[#This Row],[STATUS]]="PERDIDO","PERDIDO",IF(VEND[[#This Row],[STATUS]]="EN ESPERA","EN ESPERA")))</f>
        <v>EN ESPERA</v>
      </c>
      <c r="U568" s="112" t="s">
        <v>23</v>
      </c>
      <c r="V568" s="112" t="s">
        <v>23</v>
      </c>
      <c r="W568" s="112" t="s">
        <v>1402</v>
      </c>
      <c r="X568" s="112"/>
    </row>
    <row r="569" spans="2:24" ht="15.75" x14ac:dyDescent="0.25">
      <c r="B569" s="71">
        <v>44347</v>
      </c>
      <c r="C569" s="195" t="str">
        <f>TEXT(VEND[[#This Row],[Fecha de Envío
Cotización]],"mmmm")</f>
        <v>mayo</v>
      </c>
      <c r="D569" s="66" t="s">
        <v>68</v>
      </c>
      <c r="E569" s="190" t="s">
        <v>88</v>
      </c>
      <c r="F569" s="125" t="str">
        <f>IF(VEND[[#This Row],[STATUS]]="PERDIDO","N/A","En espera")</f>
        <v>En espera</v>
      </c>
      <c r="G569" s="93" t="str">
        <f>TEXT(VEND[[#This Row],[Fecha Recibe
O.C]],"mmmm")</f>
        <v>En espera</v>
      </c>
      <c r="H569" s="112">
        <v>676</v>
      </c>
      <c r="I569" s="110" t="s">
        <v>1828</v>
      </c>
      <c r="J569" s="112"/>
      <c r="K569" s="58">
        <v>3</v>
      </c>
      <c r="L569" s="123">
        <v>10307.790000000001</v>
      </c>
      <c r="M569" s="112" t="s">
        <v>119</v>
      </c>
      <c r="N569" s="112">
        <v>0</v>
      </c>
      <c r="O569" s="212" t="str">
        <f>IF(VEND[[#This Row],[STATUS]]="O.C",(VEND[[#This Row],[Fecha Recibe
O.C]]+VEND[[#This Row],[Dias
entrega ]]),"")</f>
        <v/>
      </c>
      <c r="P569" s="212"/>
      <c r="Q569" s="58" t="str">
        <f>IFERROR(VEND[[#This Row],[Fecha de Despacho]]-VEND[[#This Row],[Fecha Estimada de Entrega a  Cliente]],"")</f>
        <v/>
      </c>
      <c r="R56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69" s="112" t="str">
        <f>IF(VEND[[#This Row],[STATUS]]="O.C","APROBADO",IF(VEND[[#This Row],[STATUS]]="PERDIDO","PERDIDO",IF(VEND[[#This Row],[STATUS]]="EN ESPERA","EN ESPERA")))</f>
        <v>EN ESPERA</v>
      </c>
      <c r="T569" s="112" t="str">
        <f>IF(VEND[[#This Row],[STATUS]]="O.C","APROBADO",IF(VEND[[#This Row],[STATUS]]="PERDIDO","PERDIDO",IF(VEND[[#This Row],[STATUS]]="EN ESPERA","EN ESPERA")))</f>
        <v>EN ESPERA</v>
      </c>
      <c r="U569" s="112" t="s">
        <v>23</v>
      </c>
      <c r="V569" s="112" t="s">
        <v>23</v>
      </c>
      <c r="W569" s="112" t="s">
        <v>1401</v>
      </c>
      <c r="X569" s="112"/>
    </row>
    <row r="570" spans="2:24" ht="15.75" x14ac:dyDescent="0.25">
      <c r="B570" s="237">
        <v>44347</v>
      </c>
      <c r="C570" s="188" t="str">
        <f>TEXT(VEND[[#This Row],[Fecha de Envío
Cotización]],"mmmm")</f>
        <v>mayo</v>
      </c>
      <c r="D570" s="66" t="s">
        <v>1163</v>
      </c>
      <c r="E570" s="190" t="s">
        <v>83</v>
      </c>
      <c r="F570" s="127">
        <v>44348</v>
      </c>
      <c r="G570" s="127" t="str">
        <f>TEXT(VEND[[#This Row],[Fecha Recibe
O.C]],"mmmm")</f>
        <v>junio</v>
      </c>
      <c r="H570" s="128">
        <v>4600</v>
      </c>
      <c r="I570" s="112" t="s">
        <v>1241</v>
      </c>
      <c r="J570" s="128"/>
      <c r="K570" s="129">
        <v>3</v>
      </c>
      <c r="L570" s="189">
        <v>1508.2</v>
      </c>
      <c r="M570" s="112" t="s">
        <v>16</v>
      </c>
      <c r="N570" s="112"/>
      <c r="O570" s="212">
        <f>IF(VEND[[#This Row],[STATUS]]="O.C",(VEND[[#This Row],[Fecha Recibe
O.C]]+VEND[[#This Row],[Dias
entrega ]]),"")</f>
        <v>44348</v>
      </c>
      <c r="P570" s="216"/>
      <c r="Q570" s="129">
        <f>IFERROR(VEND[[#This Row],[Fecha de Despacho]]-VEND[[#This Row],[Fecha Estimada de Entrega a  Cliente]],"")</f>
        <v>-44348</v>
      </c>
      <c r="R57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0" s="128" t="str">
        <f>IF(VEND[[#This Row],[STATUS]]="O.C","APROBADO",IF(VEND[[#This Row],[STATUS]]="PERDIDO","PERDIDO",IF(VEND[[#This Row],[STATUS]]="EN ESPERA","EN ESPERA")))</f>
        <v>APROBADO</v>
      </c>
      <c r="T570" s="128" t="str">
        <f>IF(VEND[[#This Row],[STATUS]]="O.C","APROBADO",IF(VEND[[#This Row],[STATUS]]="PERDIDO","PERDIDO",IF(VEND[[#This Row],[STATUS]]="EN ESPERA","EN ESPERA")))</f>
        <v>APROBADO</v>
      </c>
      <c r="U570" s="112" t="s">
        <v>46</v>
      </c>
      <c r="V570" s="112" t="s">
        <v>46</v>
      </c>
      <c r="W570" s="112" t="s">
        <v>1409</v>
      </c>
      <c r="X570" s="112" t="s">
        <v>1923</v>
      </c>
    </row>
    <row r="571" spans="2:24" ht="15.75" x14ac:dyDescent="0.25">
      <c r="B571" s="71">
        <v>44347</v>
      </c>
      <c r="C571" s="195" t="str">
        <f>TEXT(VEND[[#This Row],[Fecha de Envío
Cotización]],"mmmm")</f>
        <v>mayo</v>
      </c>
      <c r="D571" s="66" t="s">
        <v>945</v>
      </c>
      <c r="E571" s="190" t="s">
        <v>88</v>
      </c>
      <c r="F571" s="125" t="str">
        <f>IF(VEND[[#This Row],[STATUS]]="PERDIDO","N/A","En espera")</f>
        <v>En espera</v>
      </c>
      <c r="G571" s="93" t="str">
        <f>TEXT(VEND[[#This Row],[Fecha Recibe
O.C]],"mmmm")</f>
        <v>En espera</v>
      </c>
      <c r="H571" s="112">
        <v>6048</v>
      </c>
      <c r="I571" s="112" t="s">
        <v>31</v>
      </c>
      <c r="J571" s="112"/>
      <c r="K571" s="58">
        <v>2</v>
      </c>
      <c r="L571" s="123">
        <v>1639.12</v>
      </c>
      <c r="M571" s="112" t="s">
        <v>119</v>
      </c>
      <c r="N571" s="112">
        <v>0</v>
      </c>
      <c r="O571" s="212" t="str">
        <f>IF(VEND[[#This Row],[STATUS]]="O.C",(VEND[[#This Row],[Fecha Recibe
O.C]]+VEND[[#This Row],[Dias
entrega ]]),"")</f>
        <v/>
      </c>
      <c r="P571" s="212"/>
      <c r="Q571" s="58" t="str">
        <f>IFERROR(VEND[[#This Row],[Fecha de Despacho]]-VEND[[#This Row],[Fecha Estimada de Entrega a  Cliente]],"")</f>
        <v/>
      </c>
      <c r="R57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1" s="112" t="str">
        <f>IF(VEND[[#This Row],[STATUS]]="O.C","APROBADO",IF(VEND[[#This Row],[STATUS]]="PERDIDO","PERDIDO",IF(VEND[[#This Row],[STATUS]]="EN ESPERA","EN ESPERA")))</f>
        <v>EN ESPERA</v>
      </c>
      <c r="T571" s="112" t="str">
        <f>IF(VEND[[#This Row],[STATUS]]="O.C","APROBADO",IF(VEND[[#This Row],[STATUS]]="PERDIDO","PERDIDO",IF(VEND[[#This Row],[STATUS]]="EN ESPERA","EN ESPERA")))</f>
        <v>EN ESPERA</v>
      </c>
      <c r="U571" s="112" t="s">
        <v>23</v>
      </c>
      <c r="V571" s="112" t="s">
        <v>23</v>
      </c>
      <c r="W571" s="112" t="s">
        <v>1410</v>
      </c>
      <c r="X571" s="112"/>
    </row>
    <row r="572" spans="2:24" ht="15.75" x14ac:dyDescent="0.25">
      <c r="B572" s="71">
        <v>44347</v>
      </c>
      <c r="C572" s="195" t="str">
        <f>TEXT(VEND[[#This Row],[Fecha de Envío
Cotización]],"mmmm")</f>
        <v>mayo</v>
      </c>
      <c r="D572" s="66" t="s">
        <v>945</v>
      </c>
      <c r="E572" s="190" t="s">
        <v>88</v>
      </c>
      <c r="F572" s="125" t="str">
        <f>IF(VEND[[#This Row],[STATUS]]="PERDIDO","N/A","En espera")</f>
        <v>En espera</v>
      </c>
      <c r="G572" s="93" t="str">
        <f>TEXT(VEND[[#This Row],[Fecha Recibe
O.C]],"mmmm")</f>
        <v>En espera</v>
      </c>
      <c r="H572" s="112">
        <v>6049</v>
      </c>
      <c r="I572" s="112" t="s">
        <v>31</v>
      </c>
      <c r="J572" s="112"/>
      <c r="K572" s="58">
        <v>5</v>
      </c>
      <c r="L572" s="123">
        <v>567.6</v>
      </c>
      <c r="M572" s="112" t="s">
        <v>119</v>
      </c>
      <c r="N572" s="112">
        <v>0</v>
      </c>
      <c r="O572" s="212" t="str">
        <f>IF(VEND[[#This Row],[STATUS]]="O.C",(VEND[[#This Row],[Fecha Recibe
O.C]]+VEND[[#This Row],[Dias
entrega ]]),"")</f>
        <v/>
      </c>
      <c r="P572" s="212"/>
      <c r="Q572" s="58" t="str">
        <f>IFERROR(VEND[[#This Row],[Fecha de Despacho]]-VEND[[#This Row],[Fecha Estimada de Entrega a  Cliente]],"")</f>
        <v/>
      </c>
      <c r="R57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2" s="112" t="str">
        <f>IF(VEND[[#This Row],[STATUS]]="O.C","APROBADO",IF(VEND[[#This Row],[STATUS]]="PERDIDO","PERDIDO",IF(VEND[[#This Row],[STATUS]]="EN ESPERA","EN ESPERA")))</f>
        <v>EN ESPERA</v>
      </c>
      <c r="T572" s="112" t="str">
        <f>IF(VEND[[#This Row],[STATUS]]="O.C","APROBADO",IF(VEND[[#This Row],[STATUS]]="PERDIDO","PERDIDO",IF(VEND[[#This Row],[STATUS]]="EN ESPERA","EN ESPERA")))</f>
        <v>EN ESPERA</v>
      </c>
      <c r="U572" s="112" t="s">
        <v>23</v>
      </c>
      <c r="V572" s="112" t="s">
        <v>23</v>
      </c>
      <c r="W572" s="112" t="s">
        <v>1410</v>
      </c>
      <c r="X572" s="112"/>
    </row>
    <row r="573" spans="2:24" ht="15.75" x14ac:dyDescent="0.25">
      <c r="B573" s="126">
        <v>44348</v>
      </c>
      <c r="C573" s="188" t="str">
        <f>TEXT(VEND[[#This Row],[Fecha de Envío
Cotización]],"mmmm")</f>
        <v>junio</v>
      </c>
      <c r="D573" s="66" t="s">
        <v>50</v>
      </c>
      <c r="E573" s="190" t="s">
        <v>42</v>
      </c>
      <c r="F573" s="125" t="str">
        <f>IF(VEND[[#This Row],[STATUS]]="PERDIDO","N/A","En espera")</f>
        <v>N/A</v>
      </c>
      <c r="G573" s="127" t="str">
        <f>TEXT(VEND[[#This Row],[Fecha Recibe
O.C]],"mmmm")</f>
        <v>N/A</v>
      </c>
      <c r="H573" s="128">
        <v>678</v>
      </c>
      <c r="I573" s="112" t="s">
        <v>33</v>
      </c>
      <c r="J573" s="128"/>
      <c r="K573" s="129">
        <v>2</v>
      </c>
      <c r="L573" s="189">
        <v>335.84</v>
      </c>
      <c r="M573" s="112" t="s">
        <v>119</v>
      </c>
      <c r="N573" s="112">
        <v>0</v>
      </c>
      <c r="O573" s="212" t="str">
        <f>IF(VEND[[#This Row],[STATUS]]="O.C",(VEND[[#This Row],[Fecha Recibe
O.C]]+VEND[[#This Row],[Dias
entrega ]]),"")</f>
        <v/>
      </c>
      <c r="P573" s="216"/>
      <c r="Q573" s="129" t="str">
        <f>IFERROR(VEND[[#This Row],[Fecha de Despacho]]-VEND[[#This Row],[Fecha Estimada de Entrega a  Cliente]],"")</f>
        <v/>
      </c>
      <c r="R57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3" s="128" t="str">
        <f>IF(VEND[[#This Row],[STATUS]]="O.C","APROBADO",IF(VEND[[#This Row],[STATUS]]="PERDIDO","PERDIDO",IF(VEND[[#This Row],[STATUS]]="EN ESPERA","EN ESPERA")))</f>
        <v>PERDIDO</v>
      </c>
      <c r="T573" s="128" t="str">
        <f>IF(VEND[[#This Row],[STATUS]]="O.C","APROBADO",IF(VEND[[#This Row],[STATUS]]="PERDIDO","PERDIDO",IF(VEND[[#This Row],[STATUS]]="EN ESPERA","EN ESPERA")))</f>
        <v>PERDIDO</v>
      </c>
      <c r="U573" s="112" t="s">
        <v>23</v>
      </c>
      <c r="V573" s="112" t="s">
        <v>23</v>
      </c>
      <c r="W573" s="112" t="s">
        <v>1402</v>
      </c>
      <c r="X573" s="112" t="s">
        <v>1895</v>
      </c>
    </row>
    <row r="574" spans="2:24" ht="15.75" x14ac:dyDescent="0.25">
      <c r="B574" s="126">
        <v>44348</v>
      </c>
      <c r="C574" s="188" t="str">
        <f>TEXT(VEND[[#This Row],[Fecha de Envío
Cotización]],"mmmm")</f>
        <v>junio</v>
      </c>
      <c r="D574" s="66" t="s">
        <v>41</v>
      </c>
      <c r="E574" s="190" t="s">
        <v>88</v>
      </c>
      <c r="F574" s="125" t="str">
        <f>IF(VEND[[#This Row],[STATUS]]="PERDIDO","N/A","En espera")</f>
        <v>En espera</v>
      </c>
      <c r="G574" s="127" t="str">
        <f>TEXT(VEND[[#This Row],[Fecha Recibe
O.C]],"mmmm")</f>
        <v>En espera</v>
      </c>
      <c r="H574" s="128">
        <v>680</v>
      </c>
      <c r="I574" s="112" t="s">
        <v>416</v>
      </c>
      <c r="J574" s="128"/>
      <c r="K574" s="129">
        <v>4</v>
      </c>
      <c r="L574" s="189">
        <v>286.39999999999998</v>
      </c>
      <c r="M574" s="112" t="s">
        <v>73</v>
      </c>
      <c r="N574" s="112">
        <v>14</v>
      </c>
      <c r="O574" s="212" t="str">
        <f>IF(VEND[[#This Row],[STATUS]]="O.C",(VEND[[#This Row],[Fecha Recibe
O.C]]+VEND[[#This Row],[Dias
entrega ]]),"")</f>
        <v/>
      </c>
      <c r="P574" s="216"/>
      <c r="Q574" s="129" t="str">
        <f>IFERROR(VEND[[#This Row],[Fecha de Despacho]]-VEND[[#This Row],[Fecha Estimada de Entrega a  Cliente]],"")</f>
        <v/>
      </c>
      <c r="R57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4" s="128" t="str">
        <f>IF(VEND[[#This Row],[STATUS]]="O.C","APROBADO",IF(VEND[[#This Row],[STATUS]]="PERDIDO","PERDIDO",IF(VEND[[#This Row],[STATUS]]="EN ESPERA","EN ESPERA")))</f>
        <v>EN ESPERA</v>
      </c>
      <c r="T574" s="128" t="str">
        <f>IF(VEND[[#This Row],[STATUS]]="O.C","APROBADO",IF(VEND[[#This Row],[STATUS]]="PERDIDO","PERDIDO",IF(VEND[[#This Row],[STATUS]]="EN ESPERA","EN ESPERA")))</f>
        <v>EN ESPERA</v>
      </c>
      <c r="U574" s="112" t="s">
        <v>46</v>
      </c>
      <c r="V574" s="112" t="s">
        <v>46</v>
      </c>
      <c r="W574" s="112" t="s">
        <v>1401</v>
      </c>
      <c r="X574" s="128"/>
    </row>
    <row r="575" spans="2:24" ht="15.75" x14ac:dyDescent="0.25">
      <c r="B575" s="126">
        <v>44348</v>
      </c>
      <c r="C575" s="188" t="str">
        <f>TEXT(VEND[[#This Row],[Fecha de Envío
Cotización]],"mmmm")</f>
        <v>junio</v>
      </c>
      <c r="D575" s="66" t="s">
        <v>50</v>
      </c>
      <c r="E575" s="190" t="s">
        <v>88</v>
      </c>
      <c r="F575" s="125" t="str">
        <f>IF(VEND[[#This Row],[STATUS]]="PERDIDO","N/A","En espera")</f>
        <v>En espera</v>
      </c>
      <c r="G575" s="127" t="str">
        <f>TEXT(VEND[[#This Row],[Fecha Recibe
O.C]],"mmmm")</f>
        <v>En espera</v>
      </c>
      <c r="H575" s="128">
        <v>681</v>
      </c>
      <c r="I575" s="112" t="s">
        <v>33</v>
      </c>
      <c r="J575" s="128"/>
      <c r="K575" s="129">
        <v>1</v>
      </c>
      <c r="L575" s="189">
        <v>541.95000000000005</v>
      </c>
      <c r="M575" s="112" t="s">
        <v>16</v>
      </c>
      <c r="N575" s="112">
        <v>21</v>
      </c>
      <c r="O575" s="212" t="str">
        <f>IF(VEND[[#This Row],[STATUS]]="O.C",(VEND[[#This Row],[Fecha Recibe
O.C]]+VEND[[#This Row],[Dias
entrega ]]),"")</f>
        <v/>
      </c>
      <c r="P575" s="216"/>
      <c r="Q575" s="129" t="str">
        <f>IFERROR(VEND[[#This Row],[Fecha de Despacho]]-VEND[[#This Row],[Fecha Estimada de Entrega a  Cliente]],"")</f>
        <v/>
      </c>
      <c r="R57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5" s="128" t="str">
        <f>IF(VEND[[#This Row],[STATUS]]="O.C","APROBADO",IF(VEND[[#This Row],[STATUS]]="PERDIDO","PERDIDO",IF(VEND[[#This Row],[STATUS]]="EN ESPERA","EN ESPERA")))</f>
        <v>EN ESPERA</v>
      </c>
      <c r="T575" s="128" t="str">
        <f>IF(VEND[[#This Row],[STATUS]]="O.C","APROBADO",IF(VEND[[#This Row],[STATUS]]="PERDIDO","PERDIDO",IF(VEND[[#This Row],[STATUS]]="EN ESPERA","EN ESPERA")))</f>
        <v>EN ESPERA</v>
      </c>
      <c r="U575" s="112" t="s">
        <v>46</v>
      </c>
      <c r="V575" s="112" t="s">
        <v>46</v>
      </c>
      <c r="W575" s="112" t="s">
        <v>1402</v>
      </c>
      <c r="X575" s="128"/>
    </row>
    <row r="576" spans="2:24" ht="15.75" x14ac:dyDescent="0.25">
      <c r="B576" s="126">
        <v>44348</v>
      </c>
      <c r="C576" s="188" t="str">
        <f>TEXT(VEND[[#This Row],[Fecha de Envío
Cotización]],"mmmm")</f>
        <v>junio</v>
      </c>
      <c r="D576" s="66" t="s">
        <v>41</v>
      </c>
      <c r="E576" s="190" t="s">
        <v>88</v>
      </c>
      <c r="F576" s="125" t="str">
        <f>IF(VEND[[#This Row],[STATUS]]="PERDIDO","N/A","En espera")</f>
        <v>En espera</v>
      </c>
      <c r="G576" s="127" t="str">
        <f>TEXT(VEND[[#This Row],[Fecha Recibe
O.C]],"mmmm")</f>
        <v>En espera</v>
      </c>
      <c r="H576" s="128">
        <v>682</v>
      </c>
      <c r="I576" s="112" t="s">
        <v>76</v>
      </c>
      <c r="J576" s="128"/>
      <c r="K576" s="129">
        <v>1</v>
      </c>
      <c r="L576" s="189">
        <v>2649.6</v>
      </c>
      <c r="M576" s="112" t="s">
        <v>119</v>
      </c>
      <c r="N576" s="112">
        <v>0</v>
      </c>
      <c r="O576" s="212" t="str">
        <f>IF(VEND[[#This Row],[STATUS]]="O.C",(VEND[[#This Row],[Fecha Recibe
O.C]]+VEND[[#This Row],[Dias
entrega ]]),"")</f>
        <v/>
      </c>
      <c r="P576" s="216"/>
      <c r="Q576" s="129" t="str">
        <f>IFERROR(VEND[[#This Row],[Fecha de Despacho]]-VEND[[#This Row],[Fecha Estimada de Entrega a  Cliente]],"")</f>
        <v/>
      </c>
      <c r="R57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6" s="128" t="str">
        <f>IF(VEND[[#This Row],[STATUS]]="O.C","APROBADO",IF(VEND[[#This Row],[STATUS]]="PERDIDO","PERDIDO",IF(VEND[[#This Row],[STATUS]]="EN ESPERA","EN ESPERA")))</f>
        <v>EN ESPERA</v>
      </c>
      <c r="T576" s="128" t="str">
        <f>IF(VEND[[#This Row],[STATUS]]="O.C","APROBADO",IF(VEND[[#This Row],[STATUS]]="PERDIDO","PERDIDO",IF(VEND[[#This Row],[STATUS]]="EN ESPERA","EN ESPERA")))</f>
        <v>EN ESPERA</v>
      </c>
      <c r="U576" s="112" t="s">
        <v>46</v>
      </c>
      <c r="V576" s="112" t="s">
        <v>46</v>
      </c>
      <c r="W576" s="112" t="s">
        <v>1402</v>
      </c>
      <c r="X576" s="86" t="s">
        <v>1848</v>
      </c>
    </row>
    <row r="577" spans="2:24" ht="15.75" x14ac:dyDescent="0.25">
      <c r="B577" s="126">
        <v>44348</v>
      </c>
      <c r="C577" s="188" t="str">
        <f>TEXT(VEND[[#This Row],[Fecha de Envío
Cotización]],"mmmm")</f>
        <v>junio</v>
      </c>
      <c r="D577" s="66" t="s">
        <v>41</v>
      </c>
      <c r="E577" s="190" t="s">
        <v>88</v>
      </c>
      <c r="F577" s="125" t="str">
        <f>IF(VEND[[#This Row],[STATUS]]="PERDIDO","N/A","En espera")</f>
        <v>En espera</v>
      </c>
      <c r="G577" s="127" t="str">
        <f>TEXT(VEND[[#This Row],[Fecha Recibe
O.C]],"mmmm")</f>
        <v>En espera</v>
      </c>
      <c r="H577" s="128">
        <v>683</v>
      </c>
      <c r="I577" s="112" t="s">
        <v>413</v>
      </c>
      <c r="J577" s="128"/>
      <c r="K577" s="129">
        <v>6</v>
      </c>
      <c r="L577" s="189">
        <v>3362.02</v>
      </c>
      <c r="M577" s="112" t="s">
        <v>73</v>
      </c>
      <c r="N577" s="112">
        <v>14</v>
      </c>
      <c r="O577" s="212" t="str">
        <f>IF(VEND[[#This Row],[STATUS]]="O.C",(VEND[[#This Row],[Fecha Recibe
O.C]]+VEND[[#This Row],[Dias
entrega ]]),"")</f>
        <v/>
      </c>
      <c r="P577" s="216"/>
      <c r="Q577" s="129" t="str">
        <f>IFERROR(VEND[[#This Row],[Fecha de Despacho]]-VEND[[#This Row],[Fecha Estimada de Entrega a  Cliente]],"")</f>
        <v/>
      </c>
      <c r="R57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7" s="128" t="str">
        <f>IF(VEND[[#This Row],[STATUS]]="O.C","APROBADO",IF(VEND[[#This Row],[STATUS]]="PERDIDO","PERDIDO",IF(VEND[[#This Row],[STATUS]]="EN ESPERA","EN ESPERA")))</f>
        <v>EN ESPERA</v>
      </c>
      <c r="T577" s="128" t="str">
        <f>IF(VEND[[#This Row],[STATUS]]="O.C","APROBADO",IF(VEND[[#This Row],[STATUS]]="PERDIDO","PERDIDO",IF(VEND[[#This Row],[STATUS]]="EN ESPERA","EN ESPERA")))</f>
        <v>EN ESPERA</v>
      </c>
      <c r="U577" s="112" t="s">
        <v>46</v>
      </c>
      <c r="V577" s="112" t="s">
        <v>46</v>
      </c>
      <c r="W577" s="112" t="s">
        <v>1402</v>
      </c>
      <c r="X577" s="128"/>
    </row>
    <row r="578" spans="2:24" ht="15.75" x14ac:dyDescent="0.25">
      <c r="B578" s="126">
        <v>44348</v>
      </c>
      <c r="C578" s="188" t="str">
        <f>TEXT(VEND[[#This Row],[Fecha de Envío
Cotización]],"mmmm")</f>
        <v>junio</v>
      </c>
      <c r="D578" s="66" t="s">
        <v>50</v>
      </c>
      <c r="E578" s="190" t="s">
        <v>88</v>
      </c>
      <c r="F578" s="125" t="str">
        <f>IF(VEND[[#This Row],[STATUS]]="PERDIDO","N/A","En espera")</f>
        <v>En espera</v>
      </c>
      <c r="G578" s="127" t="str">
        <f>TEXT(VEND[[#This Row],[Fecha Recibe
O.C]],"mmmm")</f>
        <v>En espera</v>
      </c>
      <c r="H578" s="128">
        <v>684</v>
      </c>
      <c r="I578" s="112" t="s">
        <v>283</v>
      </c>
      <c r="J578" s="128"/>
      <c r="K578" s="129">
        <v>2</v>
      </c>
      <c r="L578" s="189">
        <v>2404.08</v>
      </c>
      <c r="M578" s="112" t="s">
        <v>119</v>
      </c>
      <c r="N578" s="112">
        <v>0</v>
      </c>
      <c r="O578" s="212" t="str">
        <f>IF(VEND[[#This Row],[STATUS]]="O.C",(VEND[[#This Row],[Fecha Recibe
O.C]]+VEND[[#This Row],[Dias
entrega ]]),"")</f>
        <v/>
      </c>
      <c r="P578" s="216"/>
      <c r="Q578" s="129" t="str">
        <f>IFERROR(VEND[[#This Row],[Fecha de Despacho]]-VEND[[#This Row],[Fecha Estimada de Entrega a  Cliente]],"")</f>
        <v/>
      </c>
      <c r="R57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8" s="128" t="str">
        <f>IF(VEND[[#This Row],[STATUS]]="O.C","APROBADO",IF(VEND[[#This Row],[STATUS]]="PERDIDO","PERDIDO",IF(VEND[[#This Row],[STATUS]]="EN ESPERA","EN ESPERA")))</f>
        <v>EN ESPERA</v>
      </c>
      <c r="T578" s="128" t="str">
        <f>IF(VEND[[#This Row],[STATUS]]="O.C","APROBADO",IF(VEND[[#This Row],[STATUS]]="PERDIDO","PERDIDO",IF(VEND[[#This Row],[STATUS]]="EN ESPERA","EN ESPERA")))</f>
        <v>EN ESPERA</v>
      </c>
      <c r="U578" s="112" t="s">
        <v>46</v>
      </c>
      <c r="V578" s="112" t="s">
        <v>46</v>
      </c>
      <c r="W578" s="112" t="s">
        <v>1658</v>
      </c>
      <c r="X578" s="128"/>
    </row>
    <row r="579" spans="2:24" ht="15.75" x14ac:dyDescent="0.25">
      <c r="B579" s="126">
        <v>44348</v>
      </c>
      <c r="C579" s="188" t="str">
        <f>TEXT(VEND[[#This Row],[Fecha de Envío
Cotización]],"mmmm")</f>
        <v>junio</v>
      </c>
      <c r="D579" s="66" t="s">
        <v>50</v>
      </c>
      <c r="E579" s="190" t="s">
        <v>88</v>
      </c>
      <c r="F579" s="125" t="str">
        <f>IF(VEND[[#This Row],[STATUS]]="PERDIDO","N/A","En espera")</f>
        <v>En espera</v>
      </c>
      <c r="G579" s="127" t="str">
        <f>TEXT(VEND[[#This Row],[Fecha Recibe
O.C]],"mmmm")</f>
        <v>En espera</v>
      </c>
      <c r="H579" s="128">
        <v>687</v>
      </c>
      <c r="I579" s="112" t="s">
        <v>126</v>
      </c>
      <c r="J579" s="128"/>
      <c r="K579" s="129">
        <v>8</v>
      </c>
      <c r="L579" s="189">
        <v>1451.63</v>
      </c>
      <c r="M579" s="112" t="s">
        <v>36</v>
      </c>
      <c r="N579" s="112">
        <v>28</v>
      </c>
      <c r="O579" s="212" t="str">
        <f>IF(VEND[[#This Row],[STATUS]]="O.C",(VEND[[#This Row],[Fecha Recibe
O.C]]+VEND[[#This Row],[Dias
entrega ]]),"")</f>
        <v/>
      </c>
      <c r="P579" s="216"/>
      <c r="Q579" s="129" t="str">
        <f>IFERROR(VEND[[#This Row],[Fecha de Despacho]]-VEND[[#This Row],[Fecha Estimada de Entrega a  Cliente]],"")</f>
        <v/>
      </c>
      <c r="R57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79" s="128" t="str">
        <f>IF(VEND[[#This Row],[STATUS]]="O.C","APROBADO",IF(VEND[[#This Row],[STATUS]]="PERDIDO","PERDIDO",IF(VEND[[#This Row],[STATUS]]="EN ESPERA","EN ESPERA")))</f>
        <v>EN ESPERA</v>
      </c>
      <c r="T579" s="128" t="str">
        <f>IF(VEND[[#This Row],[STATUS]]="O.C","APROBADO",IF(VEND[[#This Row],[STATUS]]="PERDIDO","PERDIDO",IF(VEND[[#This Row],[STATUS]]="EN ESPERA","EN ESPERA")))</f>
        <v>EN ESPERA</v>
      </c>
      <c r="U579" s="112" t="s">
        <v>46</v>
      </c>
      <c r="V579" s="112" t="s">
        <v>46</v>
      </c>
      <c r="W579" s="112" t="s">
        <v>1401</v>
      </c>
      <c r="X579" s="128"/>
    </row>
    <row r="580" spans="2:24" ht="15.75" x14ac:dyDescent="0.25">
      <c r="B580" s="126">
        <v>44348</v>
      </c>
      <c r="C580" s="188" t="str">
        <f>TEXT(VEND[[#This Row],[Fecha de Envío
Cotización]],"mmmm")</f>
        <v>junio</v>
      </c>
      <c r="D580" s="66" t="s">
        <v>1163</v>
      </c>
      <c r="E580" s="190" t="s">
        <v>88</v>
      </c>
      <c r="F580" s="125" t="str">
        <f>IF(VEND[[#This Row],[STATUS]]="PERDIDO","N/A","En espera")</f>
        <v>En espera</v>
      </c>
      <c r="G580" s="127" t="str">
        <f>TEXT(VEND[[#This Row],[Fecha Recibe
O.C]],"mmmm")</f>
        <v>En espera</v>
      </c>
      <c r="H580" s="128">
        <v>4064</v>
      </c>
      <c r="I580" s="112" t="s">
        <v>1241</v>
      </c>
      <c r="J580" s="128"/>
      <c r="K580" s="129">
        <v>1</v>
      </c>
      <c r="L580" s="189">
        <v>4976.8999999999996</v>
      </c>
      <c r="M580" s="112"/>
      <c r="N580" s="112"/>
      <c r="O580" s="212" t="str">
        <f>IF(VEND[[#This Row],[STATUS]]="O.C",(VEND[[#This Row],[Fecha Recibe
O.C]]+VEND[[#This Row],[Dias
entrega ]]),"")</f>
        <v/>
      </c>
      <c r="P580" s="216"/>
      <c r="Q580" s="129" t="str">
        <f>IFERROR(VEND[[#This Row],[Fecha de Despacho]]-VEND[[#This Row],[Fecha Estimada de Entrega a  Cliente]],"")</f>
        <v/>
      </c>
      <c r="R58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0" s="128" t="str">
        <f>IF(VEND[[#This Row],[STATUS]]="O.C","APROBADO",IF(VEND[[#This Row],[STATUS]]="PERDIDO","PERDIDO",IF(VEND[[#This Row],[STATUS]]="EN ESPERA","EN ESPERA")))</f>
        <v>EN ESPERA</v>
      </c>
      <c r="T580" s="128" t="str">
        <f>IF(VEND[[#This Row],[STATUS]]="O.C","APROBADO",IF(VEND[[#This Row],[STATUS]]="PERDIDO","PERDIDO",IF(VEND[[#This Row],[STATUS]]="EN ESPERA","EN ESPERA")))</f>
        <v>EN ESPERA</v>
      </c>
      <c r="U580" s="112" t="s">
        <v>23</v>
      </c>
      <c r="V580" s="112" t="s">
        <v>23</v>
      </c>
      <c r="W580" s="112" t="s">
        <v>1409</v>
      </c>
      <c r="X580" s="128"/>
    </row>
    <row r="581" spans="2:24" ht="15.75" x14ac:dyDescent="0.25">
      <c r="B581" s="126">
        <v>44348</v>
      </c>
      <c r="C581" s="188" t="str">
        <f>TEXT(VEND[[#This Row],[Fecha de Envío
Cotización]],"mmmm")</f>
        <v>junio</v>
      </c>
      <c r="D581" s="66" t="s">
        <v>1163</v>
      </c>
      <c r="E581" s="190" t="s">
        <v>88</v>
      </c>
      <c r="F581" s="125" t="str">
        <f>IF(VEND[[#This Row],[STATUS]]="PERDIDO","N/A","En espera")</f>
        <v>En espera</v>
      </c>
      <c r="G581" s="127" t="str">
        <f>TEXT(VEND[[#This Row],[Fecha Recibe
O.C]],"mmmm")</f>
        <v>En espera</v>
      </c>
      <c r="H581" s="128">
        <v>4601</v>
      </c>
      <c r="I581" s="112" t="s">
        <v>1241</v>
      </c>
      <c r="J581" s="128"/>
      <c r="K581" s="129">
        <v>1</v>
      </c>
      <c r="L581" s="189">
        <v>2504.69</v>
      </c>
      <c r="M581" s="112"/>
      <c r="N581" s="112"/>
      <c r="O581" s="212" t="str">
        <f>IF(VEND[[#This Row],[STATUS]]="O.C",(VEND[[#This Row],[Fecha Recibe
O.C]]+VEND[[#This Row],[Dias
entrega ]]),"")</f>
        <v/>
      </c>
      <c r="P581" s="216"/>
      <c r="Q581" s="129" t="str">
        <f>IFERROR(VEND[[#This Row],[Fecha de Despacho]]-VEND[[#This Row],[Fecha Estimada de Entrega a  Cliente]],"")</f>
        <v/>
      </c>
      <c r="R58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1" s="128" t="str">
        <f>IF(VEND[[#This Row],[STATUS]]="O.C","APROBADO",IF(VEND[[#This Row],[STATUS]]="PERDIDO","PERDIDO",IF(VEND[[#This Row],[STATUS]]="EN ESPERA","EN ESPERA")))</f>
        <v>EN ESPERA</v>
      </c>
      <c r="T581" s="128" t="str">
        <f>IF(VEND[[#This Row],[STATUS]]="O.C","APROBADO",IF(VEND[[#This Row],[STATUS]]="PERDIDO","PERDIDO",IF(VEND[[#This Row],[STATUS]]="EN ESPERA","EN ESPERA")))</f>
        <v>EN ESPERA</v>
      </c>
      <c r="U581" s="112" t="s">
        <v>23</v>
      </c>
      <c r="V581" s="112" t="s">
        <v>23</v>
      </c>
      <c r="W581" s="112" t="s">
        <v>1409</v>
      </c>
      <c r="X581" s="128"/>
    </row>
    <row r="582" spans="2:24" ht="15.75" x14ac:dyDescent="0.25">
      <c r="B582" s="126">
        <v>44348</v>
      </c>
      <c r="C582" s="188" t="str">
        <f>TEXT(VEND[[#This Row],[Fecha de Envío
Cotización]],"mmmm")</f>
        <v>junio</v>
      </c>
      <c r="D582" s="66" t="s">
        <v>68</v>
      </c>
      <c r="E582" s="190" t="s">
        <v>83</v>
      </c>
      <c r="F582" s="127">
        <v>44348</v>
      </c>
      <c r="G582" s="127" t="str">
        <f>TEXT(VEND[[#This Row],[Fecha Recibe
O.C]],"mmmm")</f>
        <v>junio</v>
      </c>
      <c r="H582" s="112" t="s">
        <v>1834</v>
      </c>
      <c r="I582" s="112" t="s">
        <v>1857</v>
      </c>
      <c r="J582" s="128"/>
      <c r="K582" s="129">
        <v>1</v>
      </c>
      <c r="L582" s="189">
        <v>33</v>
      </c>
      <c r="M582" s="112" t="s">
        <v>119</v>
      </c>
      <c r="N582" s="112">
        <v>0</v>
      </c>
      <c r="O582" s="212">
        <f>IF(VEND[[#This Row],[STATUS]]="O.C",(VEND[[#This Row],[Fecha Recibe
O.C]]+VEND[[#This Row],[Dias
entrega ]]),"")</f>
        <v>44348</v>
      </c>
      <c r="P582" s="216">
        <v>44348</v>
      </c>
      <c r="Q582" s="129">
        <f>IFERROR(VEND[[#This Row],[Fecha de Despacho]]-VEND[[#This Row],[Fecha Estimada de Entrega a  Cliente]],"")</f>
        <v>0</v>
      </c>
      <c r="R58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2" s="128" t="str">
        <f>IF(VEND[[#This Row],[STATUS]]="O.C","APROBADO",IF(VEND[[#This Row],[STATUS]]="PERDIDO","PERDIDO",IF(VEND[[#This Row],[STATUS]]="EN ESPERA","EN ESPERA")))</f>
        <v>APROBADO</v>
      </c>
      <c r="T582" s="128" t="str">
        <f>IF(VEND[[#This Row],[STATUS]]="O.C","APROBADO",IF(VEND[[#This Row],[STATUS]]="PERDIDO","PERDIDO",IF(VEND[[#This Row],[STATUS]]="EN ESPERA","EN ESPERA")))</f>
        <v>APROBADO</v>
      </c>
      <c r="U582" s="112" t="s">
        <v>45</v>
      </c>
      <c r="V582" s="112" t="s">
        <v>47</v>
      </c>
      <c r="W582" s="112" t="s">
        <v>1402</v>
      </c>
      <c r="X582" s="128"/>
    </row>
    <row r="583" spans="2:24" s="105" customFormat="1" ht="15.75" x14ac:dyDescent="0.25">
      <c r="B583" s="126">
        <v>44349</v>
      </c>
      <c r="C583" s="188" t="str">
        <f>TEXT(VEND[[#This Row],[Fecha de Envío
Cotización]],"mmmm")</f>
        <v>junio</v>
      </c>
      <c r="D583" s="66" t="s">
        <v>41</v>
      </c>
      <c r="E583" s="190" t="s">
        <v>88</v>
      </c>
      <c r="F583" s="125" t="str">
        <f>IF(VEND[[#This Row],[STATUS]]="PERDIDO","N/A","En espera")</f>
        <v>En espera</v>
      </c>
      <c r="G583" s="127" t="str">
        <f>TEXT(VEND[[#This Row],[Fecha Recibe
O.C]],"mmmm")</f>
        <v>En espera</v>
      </c>
      <c r="H583" s="128">
        <v>688</v>
      </c>
      <c r="I583" s="112" t="s">
        <v>76</v>
      </c>
      <c r="J583" s="128"/>
      <c r="K583" s="129">
        <v>1</v>
      </c>
      <c r="L583" s="189">
        <v>187.34</v>
      </c>
      <c r="M583" s="112" t="s">
        <v>73</v>
      </c>
      <c r="N583" s="112">
        <v>14</v>
      </c>
      <c r="O583" s="212" t="str">
        <f>IF(VEND[[#This Row],[STATUS]]="O.C",(VEND[[#This Row],[Fecha Recibe
O.C]]+VEND[[#This Row],[Dias
entrega ]]),"")</f>
        <v/>
      </c>
      <c r="P583" s="216"/>
      <c r="Q583" s="129" t="str">
        <f>IFERROR(VEND[[#This Row],[Fecha de Despacho]]-VEND[[#This Row],[Fecha Estimada de Entrega a  Cliente]],"")</f>
        <v/>
      </c>
      <c r="R58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3" s="128" t="str">
        <f>IF(VEND[[#This Row],[STATUS]]="O.C","APROBADO",IF(VEND[[#This Row],[STATUS]]="PERDIDO","PERDIDO",IF(VEND[[#This Row],[STATUS]]="EN ESPERA","EN ESPERA")))</f>
        <v>EN ESPERA</v>
      </c>
      <c r="T583" s="128" t="str">
        <f>IF(VEND[[#This Row],[STATUS]]="O.C","APROBADO",IF(VEND[[#This Row],[STATUS]]="PERDIDO","PERDIDO",IF(VEND[[#This Row],[STATUS]]="EN ESPERA","EN ESPERA")))</f>
        <v>EN ESPERA</v>
      </c>
      <c r="U583" s="112" t="s">
        <v>46</v>
      </c>
      <c r="V583" s="112" t="s">
        <v>46</v>
      </c>
      <c r="W583" s="112" t="s">
        <v>1402</v>
      </c>
      <c r="X583" s="128"/>
    </row>
    <row r="584" spans="2:24" s="105" customFormat="1" ht="15.75" x14ac:dyDescent="0.25">
      <c r="B584" s="71">
        <v>44349</v>
      </c>
      <c r="C584" s="195" t="str">
        <f>TEXT(VEND[[#This Row],[Fecha de Envío
Cotización]],"mmmm")</f>
        <v>junio</v>
      </c>
      <c r="D584" s="66" t="s">
        <v>41</v>
      </c>
      <c r="E584" s="190" t="s">
        <v>88</v>
      </c>
      <c r="F584" s="125" t="str">
        <f>IF(VEND[[#This Row],[STATUS]]="PERDIDO","N/A","En espera")</f>
        <v>En espera</v>
      </c>
      <c r="G584" s="93" t="str">
        <f>TEXT(VEND[[#This Row],[Fecha Recibe
O.C]],"mmmm")</f>
        <v>En espera</v>
      </c>
      <c r="H584" s="112">
        <v>689</v>
      </c>
      <c r="I584" s="112" t="s">
        <v>76</v>
      </c>
      <c r="J584" s="112"/>
      <c r="K584" s="58">
        <v>2</v>
      </c>
      <c r="L584" s="123">
        <v>398.78</v>
      </c>
      <c r="M584" s="112" t="s">
        <v>73</v>
      </c>
      <c r="N584" s="112">
        <v>14</v>
      </c>
      <c r="O584" s="212" t="str">
        <f>IF(VEND[[#This Row],[STATUS]]="O.C",(VEND[[#This Row],[Fecha Recibe
O.C]]+VEND[[#This Row],[Dias
entrega ]]),"")</f>
        <v/>
      </c>
      <c r="P584" s="212"/>
      <c r="Q584" s="58" t="str">
        <f>IFERROR(VEND[[#This Row],[Fecha de Despacho]]-VEND[[#This Row],[Fecha Estimada de Entrega a  Cliente]],"")</f>
        <v/>
      </c>
      <c r="R58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4" s="112" t="str">
        <f>IF(VEND[[#This Row],[STATUS]]="O.C","APROBADO",IF(VEND[[#This Row],[STATUS]]="PERDIDO","PERDIDO",IF(VEND[[#This Row],[STATUS]]="EN ESPERA","EN ESPERA")))</f>
        <v>EN ESPERA</v>
      </c>
      <c r="T584" s="112" t="str">
        <f>IF(VEND[[#This Row],[STATUS]]="O.C","APROBADO",IF(VEND[[#This Row],[STATUS]]="PERDIDO","PERDIDO",IF(VEND[[#This Row],[STATUS]]="EN ESPERA","EN ESPERA")))</f>
        <v>EN ESPERA</v>
      </c>
      <c r="U584" s="112" t="s">
        <v>46</v>
      </c>
      <c r="V584" s="112" t="s">
        <v>46</v>
      </c>
      <c r="W584" s="112" t="s">
        <v>1402</v>
      </c>
      <c r="X584" s="112"/>
    </row>
    <row r="585" spans="2:24" ht="15.75" x14ac:dyDescent="0.25">
      <c r="B585" s="71">
        <v>44349</v>
      </c>
      <c r="C585" s="195" t="str">
        <f>TEXT(VEND[[#This Row],[Fecha de Envío
Cotización]],"mmmm")</f>
        <v>junio</v>
      </c>
      <c r="D585" s="66" t="s">
        <v>1163</v>
      </c>
      <c r="E585" s="190" t="s">
        <v>88</v>
      </c>
      <c r="F585" s="125" t="str">
        <f>IF(VEND[[#This Row],[STATUS]]="PERDIDO","N/A","En espera")</f>
        <v>En espera</v>
      </c>
      <c r="G585" s="93" t="str">
        <f>TEXT(VEND[[#This Row],[Fecha Recibe
O.C]],"mmmm")</f>
        <v>En espera</v>
      </c>
      <c r="H585" s="112">
        <v>4605</v>
      </c>
      <c r="I585" s="112" t="s">
        <v>1241</v>
      </c>
      <c r="J585" s="112"/>
      <c r="K585" s="58">
        <v>1</v>
      </c>
      <c r="L585" s="123">
        <v>6063.81</v>
      </c>
      <c r="M585" s="112"/>
      <c r="N585" s="112"/>
      <c r="O585" s="212" t="str">
        <f>IF(VEND[[#This Row],[STATUS]]="O.C",(VEND[[#This Row],[Fecha Recibe
O.C]]+VEND[[#This Row],[Dias
entrega ]]),"")</f>
        <v/>
      </c>
      <c r="P585" s="212"/>
      <c r="Q585" s="58" t="str">
        <f>IFERROR(VEND[[#This Row],[Fecha de Despacho]]-VEND[[#This Row],[Fecha Estimada de Entrega a  Cliente]],"")</f>
        <v/>
      </c>
      <c r="R58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5" s="112" t="str">
        <f>IF(VEND[[#This Row],[STATUS]]="O.C","APROBADO",IF(VEND[[#This Row],[STATUS]]="PERDIDO","PERDIDO",IF(VEND[[#This Row],[STATUS]]="EN ESPERA","EN ESPERA")))</f>
        <v>EN ESPERA</v>
      </c>
      <c r="T585" s="112" t="str">
        <f>IF(VEND[[#This Row],[STATUS]]="O.C","APROBADO",IF(VEND[[#This Row],[STATUS]]="PERDIDO","PERDIDO",IF(VEND[[#This Row],[STATUS]]="EN ESPERA","EN ESPERA")))</f>
        <v>EN ESPERA</v>
      </c>
      <c r="U585" s="112" t="s">
        <v>46</v>
      </c>
      <c r="V585" s="112" t="s">
        <v>46</v>
      </c>
      <c r="W585" s="112" t="s">
        <v>1409</v>
      </c>
      <c r="X585" s="112"/>
    </row>
    <row r="586" spans="2:24" ht="15.75" x14ac:dyDescent="0.25">
      <c r="B586" s="71">
        <v>44349</v>
      </c>
      <c r="C586" s="195" t="str">
        <f>TEXT(VEND[[#This Row],[Fecha de Envío
Cotización]],"mmmm")</f>
        <v>junio</v>
      </c>
      <c r="D586" s="66" t="s">
        <v>1163</v>
      </c>
      <c r="E586" s="190" t="s">
        <v>88</v>
      </c>
      <c r="F586" s="125" t="str">
        <f>IF(VEND[[#This Row],[STATUS]]="PERDIDO","N/A","En espera")</f>
        <v>En espera</v>
      </c>
      <c r="G586" s="93" t="str">
        <f>TEXT(VEND[[#This Row],[Fecha Recibe
O.C]],"mmmm")</f>
        <v>En espera</v>
      </c>
      <c r="H586" s="112">
        <v>4606</v>
      </c>
      <c r="I586" s="112" t="s">
        <v>1241</v>
      </c>
      <c r="J586" s="112"/>
      <c r="K586" s="58">
        <v>1</v>
      </c>
      <c r="L586" s="123">
        <v>37905.94</v>
      </c>
      <c r="M586" s="112"/>
      <c r="N586" s="112"/>
      <c r="O586" s="212" t="str">
        <f>IF(VEND[[#This Row],[STATUS]]="O.C",(VEND[[#This Row],[Fecha Recibe
O.C]]+VEND[[#This Row],[Dias
entrega ]]),"")</f>
        <v/>
      </c>
      <c r="P586" s="212"/>
      <c r="Q586" s="58" t="str">
        <f>IFERROR(VEND[[#This Row],[Fecha de Despacho]]-VEND[[#This Row],[Fecha Estimada de Entrega a  Cliente]],"")</f>
        <v/>
      </c>
      <c r="R58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6" s="112" t="str">
        <f>IF(VEND[[#This Row],[STATUS]]="O.C","APROBADO",IF(VEND[[#This Row],[STATUS]]="PERDIDO","PERDIDO",IF(VEND[[#This Row],[STATUS]]="EN ESPERA","EN ESPERA")))</f>
        <v>EN ESPERA</v>
      </c>
      <c r="T586" s="112" t="str">
        <f>IF(VEND[[#This Row],[STATUS]]="O.C","APROBADO",IF(VEND[[#This Row],[STATUS]]="PERDIDO","PERDIDO",IF(VEND[[#This Row],[STATUS]]="EN ESPERA","EN ESPERA")))</f>
        <v>EN ESPERA</v>
      </c>
      <c r="U586" s="112" t="s">
        <v>46</v>
      </c>
      <c r="V586" s="112" t="s">
        <v>46</v>
      </c>
      <c r="W586" s="112" t="s">
        <v>1409</v>
      </c>
      <c r="X586" s="112"/>
    </row>
    <row r="587" spans="2:24" s="105" customFormat="1" ht="15.75" x14ac:dyDescent="0.25">
      <c r="B587" s="71">
        <v>44349</v>
      </c>
      <c r="C587" s="195" t="str">
        <f>TEXT(VEND[[#This Row],[Fecha de Envío
Cotización]],"mmmm")</f>
        <v>junio</v>
      </c>
      <c r="D587" s="66" t="s">
        <v>1163</v>
      </c>
      <c r="E587" s="190" t="s">
        <v>88</v>
      </c>
      <c r="F587" s="125" t="str">
        <f>IF(VEND[[#This Row],[STATUS]]="PERDIDO","N/A","En espera")</f>
        <v>En espera</v>
      </c>
      <c r="G587" s="93" t="str">
        <f>TEXT(VEND[[#This Row],[Fecha Recibe
O.C]],"mmmm")</f>
        <v>En espera</v>
      </c>
      <c r="H587" s="112">
        <v>4607</v>
      </c>
      <c r="I587" s="112" t="s">
        <v>1241</v>
      </c>
      <c r="J587" s="112"/>
      <c r="K587" s="58">
        <v>1</v>
      </c>
      <c r="L587" s="123">
        <v>706.5</v>
      </c>
      <c r="M587" s="112"/>
      <c r="N587" s="112"/>
      <c r="O587" s="212" t="str">
        <f>IF(VEND[[#This Row],[STATUS]]="O.C",(VEND[[#This Row],[Fecha Recibe
O.C]]+VEND[[#This Row],[Dias
entrega ]]),"")</f>
        <v/>
      </c>
      <c r="P587" s="212"/>
      <c r="Q587" s="58" t="str">
        <f>IFERROR(VEND[[#This Row],[Fecha de Despacho]]-VEND[[#This Row],[Fecha Estimada de Entrega a  Cliente]],"")</f>
        <v/>
      </c>
      <c r="R58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7" s="112" t="str">
        <f>IF(VEND[[#This Row],[STATUS]]="O.C","APROBADO",IF(VEND[[#This Row],[STATUS]]="PERDIDO","PERDIDO",IF(VEND[[#This Row],[STATUS]]="EN ESPERA","EN ESPERA")))</f>
        <v>EN ESPERA</v>
      </c>
      <c r="T587" s="112" t="str">
        <f>IF(VEND[[#This Row],[STATUS]]="O.C","APROBADO",IF(VEND[[#This Row],[STATUS]]="PERDIDO","PERDIDO",IF(VEND[[#This Row],[STATUS]]="EN ESPERA","EN ESPERA")))</f>
        <v>EN ESPERA</v>
      </c>
      <c r="U587" s="112" t="s">
        <v>46</v>
      </c>
      <c r="V587" s="112" t="s">
        <v>46</v>
      </c>
      <c r="W587" s="112" t="s">
        <v>1409</v>
      </c>
      <c r="X587" s="112"/>
    </row>
    <row r="588" spans="2:24" s="105" customFormat="1" ht="15.75" x14ac:dyDescent="0.25">
      <c r="B588" s="232">
        <v>44349</v>
      </c>
      <c r="C588" s="195" t="str">
        <f>TEXT(VEND[[#This Row],[Fecha de Envío
Cotización]],"mmmm")</f>
        <v>junio</v>
      </c>
      <c r="D588" s="66" t="s">
        <v>1163</v>
      </c>
      <c r="E588" s="190" t="s">
        <v>83</v>
      </c>
      <c r="F588" s="125">
        <v>44358</v>
      </c>
      <c r="G588" s="93" t="str">
        <f>TEXT(VEND[[#This Row],[Fecha Recibe
O.C]],"mmmm")</f>
        <v>junio</v>
      </c>
      <c r="H588" s="112">
        <v>4608</v>
      </c>
      <c r="I588" s="112" t="s">
        <v>1241</v>
      </c>
      <c r="J588" s="112"/>
      <c r="K588" s="58">
        <v>6</v>
      </c>
      <c r="L588" s="123">
        <v>492.76</v>
      </c>
      <c r="M588" s="112" t="s">
        <v>16</v>
      </c>
      <c r="N588" s="112">
        <v>21</v>
      </c>
      <c r="O588" s="212">
        <f>IF(VEND[[#This Row],[STATUS]]="O.C",(VEND[[#This Row],[Fecha Recibe
O.C]]+VEND[[#This Row],[Dias
entrega ]]),"")</f>
        <v>44379</v>
      </c>
      <c r="P588" s="212"/>
      <c r="Q588" s="58">
        <f>IFERROR(VEND[[#This Row],[Fecha de Despacho]]-VEND[[#This Row],[Fecha Estimada de Entrega a  Cliente]],"")</f>
        <v>-44379</v>
      </c>
      <c r="R58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8" s="112" t="str">
        <f>IF(VEND[[#This Row],[STATUS]]="O.C","APROBADO",IF(VEND[[#This Row],[STATUS]]="PERDIDO","PERDIDO",IF(VEND[[#This Row],[STATUS]]="EN ESPERA","EN ESPERA")))</f>
        <v>APROBADO</v>
      </c>
      <c r="T588" s="112" t="str">
        <f>IF(VEND[[#This Row],[STATUS]]="O.C","APROBADO",IF(VEND[[#This Row],[STATUS]]="PERDIDO","PERDIDO",IF(VEND[[#This Row],[STATUS]]="EN ESPERA","EN ESPERA")))</f>
        <v>APROBADO</v>
      </c>
      <c r="U588" s="112" t="s">
        <v>46</v>
      </c>
      <c r="V588" s="112" t="s">
        <v>46</v>
      </c>
      <c r="W588" s="112" t="s">
        <v>1409</v>
      </c>
      <c r="X588" s="112" t="s">
        <v>2038</v>
      </c>
    </row>
    <row r="589" spans="2:24" s="105" customFormat="1" ht="15.75" x14ac:dyDescent="0.25">
      <c r="B589" s="232">
        <v>44349</v>
      </c>
      <c r="C589" s="195" t="str">
        <f>TEXT(VEND[[#This Row],[Fecha de Envío
Cotización]],"mmmm")</f>
        <v>junio</v>
      </c>
      <c r="D589" s="66" t="s">
        <v>1163</v>
      </c>
      <c r="E589" s="190" t="s">
        <v>83</v>
      </c>
      <c r="F589" s="125">
        <v>44354</v>
      </c>
      <c r="G589" s="93" t="str">
        <f>TEXT(VEND[[#This Row],[Fecha Recibe
O.C]],"mmmm")</f>
        <v>junio</v>
      </c>
      <c r="H589" s="112">
        <v>4609</v>
      </c>
      <c r="I589" s="112" t="s">
        <v>1241</v>
      </c>
      <c r="J589" s="112"/>
      <c r="K589" s="58">
        <v>5</v>
      </c>
      <c r="L589" s="123">
        <v>876.52</v>
      </c>
      <c r="M589" s="61" t="s">
        <v>16</v>
      </c>
      <c r="N589" s="112">
        <v>21</v>
      </c>
      <c r="O589" s="212">
        <f>IF(VEND[[#This Row],[STATUS]]="O.C",(VEND[[#This Row],[Fecha Recibe
O.C]]+VEND[[#This Row],[Dias
entrega ]]),"")</f>
        <v>44375</v>
      </c>
      <c r="P589" s="212"/>
      <c r="Q589" s="58">
        <f>IFERROR(VEND[[#This Row],[Fecha de Despacho]]-VEND[[#This Row],[Fecha Estimada de Entrega a  Cliente]],"")</f>
        <v>-44375</v>
      </c>
      <c r="R58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89" s="112" t="str">
        <f>IF(VEND[[#This Row],[STATUS]]="O.C","APROBADO",IF(VEND[[#This Row],[STATUS]]="PERDIDO","PERDIDO",IF(VEND[[#This Row],[STATUS]]="EN ESPERA","EN ESPERA")))</f>
        <v>APROBADO</v>
      </c>
      <c r="T589" s="112" t="str">
        <f>IF(VEND[[#This Row],[STATUS]]="O.C","APROBADO",IF(VEND[[#This Row],[STATUS]]="PERDIDO","PERDIDO",IF(VEND[[#This Row],[STATUS]]="EN ESPERA","EN ESPERA")))</f>
        <v>APROBADO</v>
      </c>
      <c r="U589" s="112" t="s">
        <v>46</v>
      </c>
      <c r="V589" s="112" t="s">
        <v>46</v>
      </c>
      <c r="W589" s="112" t="s">
        <v>1409</v>
      </c>
      <c r="X589" s="112" t="s">
        <v>1930</v>
      </c>
    </row>
    <row r="590" spans="2:24" s="105" customFormat="1" ht="15.75" x14ac:dyDescent="0.25">
      <c r="B590" s="126">
        <v>44350</v>
      </c>
      <c r="C590" s="188" t="str">
        <f>TEXT(VEND[[#This Row],[Fecha de Envío
Cotización]],"mmmm")</f>
        <v>junio</v>
      </c>
      <c r="D590" s="66" t="s">
        <v>50</v>
      </c>
      <c r="E590" s="190" t="s">
        <v>88</v>
      </c>
      <c r="F590" s="125" t="str">
        <f>IF(VEND[[#This Row],[STATUS]]="PERDIDO","N/A","En espera")</f>
        <v>En espera</v>
      </c>
      <c r="G590" s="127" t="str">
        <f>TEXT(VEND[[#This Row],[Fecha Recibe
O.C]],"mmmm")</f>
        <v>En espera</v>
      </c>
      <c r="H590" s="128">
        <v>699</v>
      </c>
      <c r="I590" s="112" t="s">
        <v>283</v>
      </c>
      <c r="J590" s="128"/>
      <c r="K590" s="129">
        <v>3</v>
      </c>
      <c r="L590" s="189">
        <v>3626.15</v>
      </c>
      <c r="M590" s="112" t="s">
        <v>36</v>
      </c>
      <c r="N590" s="112">
        <v>28</v>
      </c>
      <c r="O590" s="212" t="str">
        <f>IF(VEND[[#This Row],[STATUS]]="O.C",(VEND[[#This Row],[Fecha Recibe
O.C]]+VEND[[#This Row],[Dias
entrega ]]),"")</f>
        <v/>
      </c>
      <c r="P590" s="216"/>
      <c r="Q590" s="129" t="str">
        <f>IFERROR(VEND[[#This Row],[Fecha de Despacho]]-VEND[[#This Row],[Fecha Estimada de Entrega a  Cliente]],"")</f>
        <v/>
      </c>
      <c r="R59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0" s="128" t="str">
        <f>IF(VEND[[#This Row],[STATUS]]="O.C","APROBADO",IF(VEND[[#This Row],[STATUS]]="PERDIDO","PERDIDO",IF(VEND[[#This Row],[STATUS]]="EN ESPERA","EN ESPERA")))</f>
        <v>EN ESPERA</v>
      </c>
      <c r="T590" s="128" t="str">
        <f>IF(VEND[[#This Row],[STATUS]]="O.C","APROBADO",IF(VEND[[#This Row],[STATUS]]="PERDIDO","PERDIDO",IF(VEND[[#This Row],[STATUS]]="EN ESPERA","EN ESPERA")))</f>
        <v>EN ESPERA</v>
      </c>
      <c r="U590" s="112" t="s">
        <v>46</v>
      </c>
      <c r="V590" s="112" t="s">
        <v>46</v>
      </c>
      <c r="W590" s="112" t="s">
        <v>1404</v>
      </c>
      <c r="X590" s="128"/>
    </row>
    <row r="591" spans="2:24" s="105" customFormat="1" ht="15.75" x14ac:dyDescent="0.25">
      <c r="B591" s="126">
        <v>44350</v>
      </c>
      <c r="C591" s="188" t="str">
        <f>TEXT(VEND[[#This Row],[Fecha de Envío
Cotización]],"mmmm")</f>
        <v>junio</v>
      </c>
      <c r="D591" s="66" t="s">
        <v>50</v>
      </c>
      <c r="E591" s="190" t="s">
        <v>88</v>
      </c>
      <c r="F591" s="125" t="str">
        <f>IF(VEND[[#This Row],[STATUS]]="PERDIDO","N/A","En espera")</f>
        <v>En espera</v>
      </c>
      <c r="G591" s="127" t="str">
        <f>TEXT(VEND[[#This Row],[Fecha Recibe
O.C]],"mmmm")</f>
        <v>En espera</v>
      </c>
      <c r="H591" s="128">
        <v>700</v>
      </c>
      <c r="I591" s="112" t="s">
        <v>283</v>
      </c>
      <c r="J591" s="128"/>
      <c r="K591" s="129">
        <v>1</v>
      </c>
      <c r="L591" s="189">
        <v>2789.62</v>
      </c>
      <c r="M591" s="112" t="s">
        <v>134</v>
      </c>
      <c r="N591" s="112">
        <v>28</v>
      </c>
      <c r="O591" s="212" t="str">
        <f>IF(VEND[[#This Row],[STATUS]]="O.C",(VEND[[#This Row],[Fecha Recibe
O.C]]+VEND[[#This Row],[Dias
entrega ]]),"")</f>
        <v/>
      </c>
      <c r="P591" s="216"/>
      <c r="Q591" s="129" t="str">
        <f>IFERROR(VEND[[#This Row],[Fecha de Despacho]]-VEND[[#This Row],[Fecha Estimada de Entrega a  Cliente]],"")</f>
        <v/>
      </c>
      <c r="R59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1" s="128" t="str">
        <f>IF(VEND[[#This Row],[STATUS]]="O.C","APROBADO",IF(VEND[[#This Row],[STATUS]]="PERDIDO","PERDIDO",IF(VEND[[#This Row],[STATUS]]="EN ESPERA","EN ESPERA")))</f>
        <v>EN ESPERA</v>
      </c>
      <c r="T591" s="128" t="str">
        <f>IF(VEND[[#This Row],[STATUS]]="O.C","APROBADO",IF(VEND[[#This Row],[STATUS]]="PERDIDO","PERDIDO",IF(VEND[[#This Row],[STATUS]]="EN ESPERA","EN ESPERA")))</f>
        <v>EN ESPERA</v>
      </c>
      <c r="U591" s="112" t="s">
        <v>46</v>
      </c>
      <c r="V591" s="112" t="s">
        <v>46</v>
      </c>
      <c r="W591" s="112" t="s">
        <v>1406</v>
      </c>
      <c r="X591" s="128"/>
    </row>
    <row r="592" spans="2:24" ht="15.75" x14ac:dyDescent="0.25">
      <c r="B592" s="126">
        <v>44350</v>
      </c>
      <c r="C592" s="188" t="str">
        <f>TEXT(VEND[[#This Row],[Fecha de Envío
Cotización]],"mmmm")</f>
        <v>junio</v>
      </c>
      <c r="D592" s="66" t="s">
        <v>945</v>
      </c>
      <c r="E592" s="190" t="s">
        <v>88</v>
      </c>
      <c r="F592" s="125" t="str">
        <f>IF(VEND[[#This Row],[STATUS]]="PERDIDO","N/A","En espera")</f>
        <v>En espera</v>
      </c>
      <c r="G592" s="127" t="str">
        <f>TEXT(VEND[[#This Row],[Fecha Recibe
O.C]],"mmmm")</f>
        <v>En espera</v>
      </c>
      <c r="H592" s="128">
        <v>702</v>
      </c>
      <c r="I592" s="112" t="s">
        <v>130</v>
      </c>
      <c r="J592" s="128"/>
      <c r="K592" s="129">
        <v>2</v>
      </c>
      <c r="L592" s="189">
        <v>499.6</v>
      </c>
      <c r="M592" s="112" t="s">
        <v>36</v>
      </c>
      <c r="N592" s="112">
        <v>28</v>
      </c>
      <c r="O592" s="212" t="str">
        <f>IF(VEND[[#This Row],[STATUS]]="O.C",(VEND[[#This Row],[Fecha Recibe
O.C]]+VEND[[#This Row],[Dias
entrega ]]),"")</f>
        <v/>
      </c>
      <c r="P592" s="216"/>
      <c r="Q592" s="129" t="str">
        <f>IFERROR(VEND[[#This Row],[Fecha de Despacho]]-VEND[[#This Row],[Fecha Estimada de Entrega a  Cliente]],"")</f>
        <v/>
      </c>
      <c r="R59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2" s="128" t="str">
        <f>IF(VEND[[#This Row],[STATUS]]="O.C","APROBADO",IF(VEND[[#This Row],[STATUS]]="PERDIDO","PERDIDO",IF(VEND[[#This Row],[STATUS]]="EN ESPERA","EN ESPERA")))</f>
        <v>EN ESPERA</v>
      </c>
      <c r="T592" s="128" t="str">
        <f>IF(VEND[[#This Row],[STATUS]]="O.C","APROBADO",IF(VEND[[#This Row],[STATUS]]="PERDIDO","PERDIDO",IF(VEND[[#This Row],[STATUS]]="EN ESPERA","EN ESPERA")))</f>
        <v>EN ESPERA</v>
      </c>
      <c r="U592" s="112" t="s">
        <v>46</v>
      </c>
      <c r="V592" s="112" t="s">
        <v>46</v>
      </c>
      <c r="W592" s="112" t="s">
        <v>1409</v>
      </c>
      <c r="X592" s="128"/>
    </row>
    <row r="593" spans="2:24" ht="15.75" x14ac:dyDescent="0.25">
      <c r="B593" s="126">
        <v>44350</v>
      </c>
      <c r="C593" s="188" t="str">
        <f>TEXT(VEND[[#This Row],[Fecha de Envío
Cotización]],"mmmm")</f>
        <v>junio</v>
      </c>
      <c r="D593" s="66" t="s">
        <v>41</v>
      </c>
      <c r="E593" s="190" t="s">
        <v>88</v>
      </c>
      <c r="F593" s="125" t="str">
        <f>IF(VEND[[#This Row],[STATUS]]="PERDIDO","N/A","En espera")</f>
        <v>En espera</v>
      </c>
      <c r="G593" s="127" t="str">
        <f>TEXT(VEND[[#This Row],[Fecha Recibe
O.C]],"mmmm")</f>
        <v>En espera</v>
      </c>
      <c r="H593" s="128">
        <v>704</v>
      </c>
      <c r="I593" s="112" t="s">
        <v>94</v>
      </c>
      <c r="J593" s="128"/>
      <c r="K593" s="129">
        <v>2</v>
      </c>
      <c r="L593" s="189">
        <v>273.64</v>
      </c>
      <c r="M593" s="112" t="s">
        <v>73</v>
      </c>
      <c r="N593" s="112">
        <v>14</v>
      </c>
      <c r="O593" s="212" t="str">
        <f>IF(VEND[[#This Row],[STATUS]]="O.C",(VEND[[#This Row],[Fecha Recibe
O.C]]+VEND[[#This Row],[Dias
entrega ]]),"")</f>
        <v/>
      </c>
      <c r="P593" s="216"/>
      <c r="Q593" s="129" t="str">
        <f>IFERROR(VEND[[#This Row],[Fecha de Despacho]]-VEND[[#This Row],[Fecha Estimada de Entrega a  Cliente]],"")</f>
        <v/>
      </c>
      <c r="R59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3" s="128" t="str">
        <f>IF(VEND[[#This Row],[STATUS]]="O.C","APROBADO",IF(VEND[[#This Row],[STATUS]]="PERDIDO","PERDIDO",IF(VEND[[#This Row],[STATUS]]="EN ESPERA","EN ESPERA")))</f>
        <v>EN ESPERA</v>
      </c>
      <c r="T593" s="128" t="str">
        <f>IF(VEND[[#This Row],[STATUS]]="O.C","APROBADO",IF(VEND[[#This Row],[STATUS]]="PERDIDO","PERDIDO",IF(VEND[[#This Row],[STATUS]]="EN ESPERA","EN ESPERA")))</f>
        <v>EN ESPERA</v>
      </c>
      <c r="U593" s="112" t="s">
        <v>23</v>
      </c>
      <c r="V593" s="112" t="s">
        <v>23</v>
      </c>
      <c r="W593" s="112" t="s">
        <v>1409</v>
      </c>
      <c r="X593" s="128"/>
    </row>
    <row r="594" spans="2:24" ht="15.75" x14ac:dyDescent="0.25">
      <c r="B594" s="126">
        <v>44350</v>
      </c>
      <c r="C594" s="188" t="str">
        <f>TEXT(VEND[[#This Row],[Fecha de Envío
Cotización]],"mmmm")</f>
        <v>junio</v>
      </c>
      <c r="D594" s="66" t="s">
        <v>41</v>
      </c>
      <c r="E594" s="190" t="s">
        <v>42</v>
      </c>
      <c r="F594" s="125" t="str">
        <f>IF(VEND[[#This Row],[STATUS]]="PERDIDO","N/A","En espera")</f>
        <v>N/A</v>
      </c>
      <c r="G594" s="127" t="str">
        <f>TEXT(VEND[[#This Row],[Fecha Recibe
O.C]],"mmmm")</f>
        <v>N/A</v>
      </c>
      <c r="H594" s="128">
        <v>3540</v>
      </c>
      <c r="I594" s="112" t="s">
        <v>1766</v>
      </c>
      <c r="J594" s="128"/>
      <c r="K594" s="129">
        <v>1</v>
      </c>
      <c r="L594" s="189">
        <v>6481.34</v>
      </c>
      <c r="M594" s="154" t="s">
        <v>51</v>
      </c>
      <c r="N594" s="112">
        <v>21</v>
      </c>
      <c r="O594" s="212" t="str">
        <f>IF(VEND[[#This Row],[STATUS]]="O.C",(VEND[[#This Row],[Fecha Recibe
O.C]]+VEND[[#This Row],[Dias
entrega ]]),"")</f>
        <v/>
      </c>
      <c r="P594" s="216"/>
      <c r="Q594" s="129" t="str">
        <f>IFERROR(VEND[[#This Row],[Fecha de Despacho]]-VEND[[#This Row],[Fecha Estimada de Entrega a  Cliente]],"")</f>
        <v/>
      </c>
      <c r="R59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4" s="128" t="str">
        <f>IF(VEND[[#This Row],[STATUS]]="O.C","APROBADO",IF(VEND[[#This Row],[STATUS]]="PERDIDO","PERDIDO",IF(VEND[[#This Row],[STATUS]]="EN ESPERA","EN ESPERA")))</f>
        <v>PERDIDO</v>
      </c>
      <c r="T594" s="128" t="str">
        <f>IF(VEND[[#This Row],[STATUS]]="O.C","APROBADO",IF(VEND[[#This Row],[STATUS]]="PERDIDO","PERDIDO",IF(VEND[[#This Row],[STATUS]]="EN ESPERA","EN ESPERA")))</f>
        <v>PERDIDO</v>
      </c>
      <c r="U594" s="112" t="s">
        <v>23</v>
      </c>
      <c r="V594" s="112" t="s">
        <v>23</v>
      </c>
      <c r="W594" s="112" t="s">
        <v>1409</v>
      </c>
      <c r="X594" s="86" t="s">
        <v>1985</v>
      </c>
    </row>
    <row r="595" spans="2:24" ht="15.75" x14ac:dyDescent="0.25">
      <c r="B595" s="126">
        <v>44350</v>
      </c>
      <c r="C595" s="188" t="str">
        <f>TEXT(VEND[[#This Row],[Fecha de Envío
Cotización]],"mmmm")</f>
        <v>junio</v>
      </c>
      <c r="D595" s="66" t="s">
        <v>1163</v>
      </c>
      <c r="E595" s="190" t="s">
        <v>88</v>
      </c>
      <c r="F595" s="125" t="str">
        <f>IF(VEND[[#This Row],[STATUS]]="PERDIDO","N/A","En espera")</f>
        <v>En espera</v>
      </c>
      <c r="G595" s="127" t="str">
        <f>TEXT(VEND[[#This Row],[Fecha Recibe
O.C]],"mmmm")</f>
        <v>En espera</v>
      </c>
      <c r="H595" s="128">
        <v>4610</v>
      </c>
      <c r="I595" s="112" t="s">
        <v>1241</v>
      </c>
      <c r="J595" s="128"/>
      <c r="K595" s="129">
        <v>1</v>
      </c>
      <c r="L595" s="189">
        <v>22238.720000000001</v>
      </c>
      <c r="M595" s="112"/>
      <c r="N595" s="112"/>
      <c r="O595" s="212" t="str">
        <f>IF(VEND[[#This Row],[STATUS]]="O.C",(VEND[[#This Row],[Fecha Recibe
O.C]]+VEND[[#This Row],[Dias
entrega ]]),"")</f>
        <v/>
      </c>
      <c r="P595" s="216"/>
      <c r="Q595" s="129" t="str">
        <f>IFERROR(VEND[[#This Row],[Fecha de Despacho]]-VEND[[#This Row],[Fecha Estimada de Entrega a  Cliente]],"")</f>
        <v/>
      </c>
      <c r="R59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5" s="128" t="str">
        <f>IF(VEND[[#This Row],[STATUS]]="O.C","APROBADO",IF(VEND[[#This Row],[STATUS]]="PERDIDO","PERDIDO",IF(VEND[[#This Row],[STATUS]]="EN ESPERA","EN ESPERA")))</f>
        <v>EN ESPERA</v>
      </c>
      <c r="T595" s="128" t="str">
        <f>IF(VEND[[#This Row],[STATUS]]="O.C","APROBADO",IF(VEND[[#This Row],[STATUS]]="PERDIDO","PERDIDO",IF(VEND[[#This Row],[STATUS]]="EN ESPERA","EN ESPERA")))</f>
        <v>EN ESPERA</v>
      </c>
      <c r="U595" s="112" t="s">
        <v>23</v>
      </c>
      <c r="V595" s="112" t="s">
        <v>23</v>
      </c>
      <c r="W595" s="112" t="s">
        <v>1409</v>
      </c>
      <c r="X595" s="128"/>
    </row>
    <row r="596" spans="2:24" ht="15.75" x14ac:dyDescent="0.25">
      <c r="B596" s="126">
        <v>44350</v>
      </c>
      <c r="C596" s="188" t="str">
        <f>TEXT(VEND[[#This Row],[Fecha de Envío
Cotización]],"mmmm")</f>
        <v>junio</v>
      </c>
      <c r="D596" s="66" t="s">
        <v>1163</v>
      </c>
      <c r="E596" s="190" t="s">
        <v>88</v>
      </c>
      <c r="F596" s="125" t="str">
        <f>IF(VEND[[#This Row],[STATUS]]="PERDIDO","N/A","En espera")</f>
        <v>En espera</v>
      </c>
      <c r="G596" s="127" t="str">
        <f>TEXT(VEND[[#This Row],[Fecha Recibe
O.C]],"mmmm")</f>
        <v>En espera</v>
      </c>
      <c r="H596" s="128">
        <v>4611</v>
      </c>
      <c r="I596" s="112" t="s">
        <v>1241</v>
      </c>
      <c r="J596" s="128"/>
      <c r="K596" s="129">
        <v>2</v>
      </c>
      <c r="L596" s="189">
        <v>783.7</v>
      </c>
      <c r="M596" s="112"/>
      <c r="N596" s="112"/>
      <c r="O596" s="212" t="str">
        <f>IF(VEND[[#This Row],[STATUS]]="O.C",(VEND[[#This Row],[Fecha Recibe
O.C]]+VEND[[#This Row],[Dias
entrega ]]),"")</f>
        <v/>
      </c>
      <c r="P596" s="216"/>
      <c r="Q596" s="129" t="str">
        <f>IFERROR(VEND[[#This Row],[Fecha de Despacho]]-VEND[[#This Row],[Fecha Estimada de Entrega a  Cliente]],"")</f>
        <v/>
      </c>
      <c r="R59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6" s="128" t="str">
        <f>IF(VEND[[#This Row],[STATUS]]="O.C","APROBADO",IF(VEND[[#This Row],[STATUS]]="PERDIDO","PERDIDO",IF(VEND[[#This Row],[STATUS]]="EN ESPERA","EN ESPERA")))</f>
        <v>EN ESPERA</v>
      </c>
      <c r="T596" s="128" t="str">
        <f>IF(VEND[[#This Row],[STATUS]]="O.C","APROBADO",IF(VEND[[#This Row],[STATUS]]="PERDIDO","PERDIDO",IF(VEND[[#This Row],[STATUS]]="EN ESPERA","EN ESPERA")))</f>
        <v>EN ESPERA</v>
      </c>
      <c r="U596" s="112" t="s">
        <v>23</v>
      </c>
      <c r="V596" s="112" t="s">
        <v>23</v>
      </c>
      <c r="W596" s="112" t="s">
        <v>1409</v>
      </c>
      <c r="X596" s="128"/>
    </row>
    <row r="597" spans="2:24" s="105" customFormat="1" ht="15.75" x14ac:dyDescent="0.25">
      <c r="B597" s="126">
        <v>44350</v>
      </c>
      <c r="C597" s="188" t="str">
        <f>TEXT(VEND[[#This Row],[Fecha de Envío
Cotización]],"mmmm")</f>
        <v>junio</v>
      </c>
      <c r="D597" s="66" t="s">
        <v>1163</v>
      </c>
      <c r="E597" s="190" t="s">
        <v>88</v>
      </c>
      <c r="F597" s="125" t="str">
        <f>IF(VEND[[#This Row],[STATUS]]="PERDIDO","N/A","En espera")</f>
        <v>En espera</v>
      </c>
      <c r="G597" s="127" t="str">
        <f>TEXT(VEND[[#This Row],[Fecha Recibe
O.C]],"mmmm")</f>
        <v>En espera</v>
      </c>
      <c r="H597" s="128">
        <v>4612</v>
      </c>
      <c r="I597" s="112" t="s">
        <v>1241</v>
      </c>
      <c r="J597" s="128"/>
      <c r="K597" s="129">
        <v>2</v>
      </c>
      <c r="L597" s="189">
        <v>2518.48</v>
      </c>
      <c r="M597" s="112"/>
      <c r="N597" s="112"/>
      <c r="O597" s="212" t="str">
        <f>IF(VEND[[#This Row],[STATUS]]="O.C",(VEND[[#This Row],[Fecha Recibe
O.C]]+VEND[[#This Row],[Dias
entrega ]]),"")</f>
        <v/>
      </c>
      <c r="P597" s="216"/>
      <c r="Q597" s="129" t="str">
        <f>IFERROR(VEND[[#This Row],[Fecha de Despacho]]-VEND[[#This Row],[Fecha Estimada de Entrega a  Cliente]],"")</f>
        <v/>
      </c>
      <c r="R59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7" s="128" t="str">
        <f>IF(VEND[[#This Row],[STATUS]]="O.C","APROBADO",IF(VEND[[#This Row],[STATUS]]="PERDIDO","PERDIDO",IF(VEND[[#This Row],[STATUS]]="EN ESPERA","EN ESPERA")))</f>
        <v>EN ESPERA</v>
      </c>
      <c r="T597" s="128" t="str">
        <f>IF(VEND[[#This Row],[STATUS]]="O.C","APROBADO",IF(VEND[[#This Row],[STATUS]]="PERDIDO","PERDIDO",IF(VEND[[#This Row],[STATUS]]="EN ESPERA","EN ESPERA")))</f>
        <v>EN ESPERA</v>
      </c>
      <c r="U597" s="112" t="s">
        <v>23</v>
      </c>
      <c r="V597" s="112" t="s">
        <v>23</v>
      </c>
      <c r="W597" s="112" t="s">
        <v>1409</v>
      </c>
      <c r="X597" s="128"/>
    </row>
    <row r="598" spans="2:24" s="105" customFormat="1" ht="15.75" x14ac:dyDescent="0.25">
      <c r="B598" s="126">
        <v>44350</v>
      </c>
      <c r="C598" s="188" t="str">
        <f>TEXT(VEND[[#This Row],[Fecha de Envío
Cotización]],"mmmm")</f>
        <v>junio</v>
      </c>
      <c r="D598" s="66" t="s">
        <v>1163</v>
      </c>
      <c r="E598" s="190" t="s">
        <v>88</v>
      </c>
      <c r="F598" s="125" t="str">
        <f>IF(VEND[[#This Row],[STATUS]]="PERDIDO","N/A","En espera")</f>
        <v>En espera</v>
      </c>
      <c r="G598" s="127" t="str">
        <f>TEXT(VEND[[#This Row],[Fecha Recibe
O.C]],"mmmm")</f>
        <v>En espera</v>
      </c>
      <c r="H598" s="128">
        <v>4613</v>
      </c>
      <c r="I598" s="112" t="s">
        <v>1241</v>
      </c>
      <c r="J598" s="128"/>
      <c r="K598" s="129">
        <v>1</v>
      </c>
      <c r="L598" s="189">
        <v>1879.21</v>
      </c>
      <c r="M598" s="112"/>
      <c r="N598" s="112"/>
      <c r="O598" s="212" t="str">
        <f>IF(VEND[[#This Row],[STATUS]]="O.C",(VEND[[#This Row],[Fecha Recibe
O.C]]+VEND[[#This Row],[Dias
entrega ]]),"")</f>
        <v/>
      </c>
      <c r="P598" s="216"/>
      <c r="Q598" s="129" t="str">
        <f>IFERROR(VEND[[#This Row],[Fecha de Despacho]]-VEND[[#This Row],[Fecha Estimada de Entrega a  Cliente]],"")</f>
        <v/>
      </c>
      <c r="R59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8" s="128" t="str">
        <f>IF(VEND[[#This Row],[STATUS]]="O.C","APROBADO",IF(VEND[[#This Row],[STATUS]]="PERDIDO","PERDIDO",IF(VEND[[#This Row],[STATUS]]="EN ESPERA","EN ESPERA")))</f>
        <v>EN ESPERA</v>
      </c>
      <c r="T598" s="128" t="str">
        <f>IF(VEND[[#This Row],[STATUS]]="O.C","APROBADO",IF(VEND[[#This Row],[STATUS]]="PERDIDO","PERDIDO",IF(VEND[[#This Row],[STATUS]]="EN ESPERA","EN ESPERA")))</f>
        <v>EN ESPERA</v>
      </c>
      <c r="U598" s="112" t="s">
        <v>23</v>
      </c>
      <c r="V598" s="112" t="s">
        <v>23</v>
      </c>
      <c r="W598" s="112" t="s">
        <v>1409</v>
      </c>
      <c r="X598" s="128"/>
    </row>
    <row r="599" spans="2:24" s="105" customFormat="1" ht="15.75" x14ac:dyDescent="0.25">
      <c r="B599" s="126">
        <v>44350</v>
      </c>
      <c r="C599" s="188" t="str">
        <f>TEXT(VEND[[#This Row],[Fecha de Envío
Cotización]],"mmmm")</f>
        <v>junio</v>
      </c>
      <c r="D599" s="66" t="s">
        <v>945</v>
      </c>
      <c r="E599" s="190" t="s">
        <v>42</v>
      </c>
      <c r="F599" s="125" t="str">
        <f>IF(VEND[[#This Row],[STATUS]]="PERDIDO","N/A","En espera")</f>
        <v>N/A</v>
      </c>
      <c r="G599" s="127" t="str">
        <f>TEXT(VEND[[#This Row],[Fecha Recibe
O.C]],"mmmm")</f>
        <v>N/A</v>
      </c>
      <c r="H599" s="128">
        <v>6050</v>
      </c>
      <c r="I599" s="112" t="s">
        <v>31</v>
      </c>
      <c r="J599" s="128"/>
      <c r="K599" s="129">
        <v>3</v>
      </c>
      <c r="L599" s="189">
        <v>1056</v>
      </c>
      <c r="M599" s="112" t="s">
        <v>22</v>
      </c>
      <c r="N599" s="112">
        <v>0</v>
      </c>
      <c r="O599" s="212" t="str">
        <f>IF(VEND[[#This Row],[STATUS]]="O.C",(VEND[[#This Row],[Fecha Recibe
O.C]]+VEND[[#This Row],[Dias
entrega ]]),"")</f>
        <v/>
      </c>
      <c r="P599" s="216"/>
      <c r="Q599" s="129" t="str">
        <f>IFERROR(VEND[[#This Row],[Fecha de Despacho]]-VEND[[#This Row],[Fecha Estimada de Entrega a  Cliente]],"")</f>
        <v/>
      </c>
      <c r="R59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599" s="128" t="str">
        <f>IF(VEND[[#This Row],[STATUS]]="O.C","APROBADO",IF(VEND[[#This Row],[STATUS]]="PERDIDO","PERDIDO",IF(VEND[[#This Row],[STATUS]]="EN ESPERA","EN ESPERA")))</f>
        <v>PERDIDO</v>
      </c>
      <c r="T599" s="128" t="str">
        <f>IF(VEND[[#This Row],[STATUS]]="O.C","APROBADO",IF(VEND[[#This Row],[STATUS]]="PERDIDO","PERDIDO",IF(VEND[[#This Row],[STATUS]]="EN ESPERA","EN ESPERA")))</f>
        <v>PERDIDO</v>
      </c>
      <c r="U599" s="112" t="s">
        <v>23</v>
      </c>
      <c r="V599" s="112" t="s">
        <v>23</v>
      </c>
      <c r="W599" s="112" t="s">
        <v>1405</v>
      </c>
      <c r="X599" s="128"/>
    </row>
    <row r="600" spans="2:24" s="105" customFormat="1" ht="15.75" x14ac:dyDescent="0.25">
      <c r="B600" s="126">
        <v>44351</v>
      </c>
      <c r="C600" s="188" t="str">
        <f>TEXT(VEND[[#This Row],[Fecha de Envío
Cotización]],"mmmm")</f>
        <v>junio</v>
      </c>
      <c r="D600" s="66" t="s">
        <v>41</v>
      </c>
      <c r="E600" s="190" t="s">
        <v>42</v>
      </c>
      <c r="F600" s="125" t="str">
        <f>IF(VEND[[#This Row],[STATUS]]="PERDIDO","N/A","En espera")</f>
        <v>N/A</v>
      </c>
      <c r="G600" s="127" t="str">
        <f>TEXT(VEND[[#This Row],[Fecha Recibe
O.C]],"mmmm")</f>
        <v>N/A</v>
      </c>
      <c r="H600" s="128">
        <v>3542</v>
      </c>
      <c r="I600" s="112" t="s">
        <v>1558</v>
      </c>
      <c r="J600" s="128"/>
      <c r="K600" s="129">
        <v>3</v>
      </c>
      <c r="L600" s="189">
        <v>2620.98</v>
      </c>
      <c r="M600" s="112" t="s">
        <v>77</v>
      </c>
      <c r="N600" s="112">
        <v>7</v>
      </c>
      <c r="O600" s="212" t="str">
        <f>IF(VEND[[#This Row],[STATUS]]="O.C",(VEND[[#This Row],[Fecha Recibe
O.C]]+VEND[[#This Row],[Dias
entrega ]]),"")</f>
        <v/>
      </c>
      <c r="P600" s="216"/>
      <c r="Q600" s="129" t="str">
        <f>IFERROR(VEND[[#This Row],[Fecha de Despacho]]-VEND[[#This Row],[Fecha Estimada de Entrega a  Cliente]],"")</f>
        <v/>
      </c>
      <c r="R60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0" s="128" t="str">
        <f>IF(VEND[[#This Row],[STATUS]]="O.C","APROBADO",IF(VEND[[#This Row],[STATUS]]="PERDIDO","PERDIDO",IF(VEND[[#This Row],[STATUS]]="EN ESPERA","EN ESPERA")))</f>
        <v>PERDIDO</v>
      </c>
      <c r="T600" s="128" t="str">
        <f>IF(VEND[[#This Row],[STATUS]]="O.C","APROBADO",IF(VEND[[#This Row],[STATUS]]="PERDIDO","PERDIDO",IF(VEND[[#This Row],[STATUS]]="EN ESPERA","EN ESPERA")))</f>
        <v>PERDIDO</v>
      </c>
      <c r="U600" s="112" t="s">
        <v>46</v>
      </c>
      <c r="V600" s="112" t="s">
        <v>46</v>
      </c>
      <c r="W600" s="112" t="s">
        <v>1402</v>
      </c>
      <c r="X600" s="128"/>
    </row>
    <row r="601" spans="2:24" ht="15.75" x14ac:dyDescent="0.25">
      <c r="B601" s="237">
        <v>44351</v>
      </c>
      <c r="C601" s="188" t="str">
        <f>TEXT(VEND[[#This Row],[Fecha de Envío
Cotización]],"mmmm")</f>
        <v>junio</v>
      </c>
      <c r="D601" s="66" t="s">
        <v>1163</v>
      </c>
      <c r="E601" s="190" t="s">
        <v>83</v>
      </c>
      <c r="F601" s="125">
        <v>44361</v>
      </c>
      <c r="G601" s="127" t="str">
        <f>TEXT(VEND[[#This Row],[Fecha Recibe
O.C]],"mmmm")</f>
        <v>junio</v>
      </c>
      <c r="H601" s="128">
        <v>4617</v>
      </c>
      <c r="I601" s="112" t="s">
        <v>2054</v>
      </c>
      <c r="J601" s="128"/>
      <c r="K601" s="129">
        <v>1</v>
      </c>
      <c r="L601" s="189">
        <v>12799.78</v>
      </c>
      <c r="M601" s="112" t="s">
        <v>36</v>
      </c>
      <c r="N601" s="112">
        <v>28</v>
      </c>
      <c r="O601" s="212">
        <f>IF(VEND[[#This Row],[STATUS]]="O.C",(VEND[[#This Row],[Fecha Recibe
O.C]]+VEND[[#This Row],[Dias
entrega ]]),"")</f>
        <v>44389</v>
      </c>
      <c r="P601" s="216"/>
      <c r="Q601" s="129">
        <f>IFERROR(VEND[[#This Row],[Fecha de Despacho]]-VEND[[#This Row],[Fecha Estimada de Entrega a  Cliente]],"")</f>
        <v>-44389</v>
      </c>
      <c r="R60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1" s="128" t="str">
        <f>IF(VEND[[#This Row],[STATUS]]="O.C","APROBADO",IF(VEND[[#This Row],[STATUS]]="PERDIDO","PERDIDO",IF(VEND[[#This Row],[STATUS]]="EN ESPERA","EN ESPERA")))</f>
        <v>APROBADO</v>
      </c>
      <c r="T601" s="128" t="str">
        <f>IF(VEND[[#This Row],[STATUS]]="O.C","APROBADO",IF(VEND[[#This Row],[STATUS]]="PERDIDO","PERDIDO",IF(VEND[[#This Row],[STATUS]]="EN ESPERA","EN ESPERA")))</f>
        <v>APROBADO</v>
      </c>
      <c r="U601" s="112" t="s">
        <v>46</v>
      </c>
      <c r="V601" s="112" t="s">
        <v>46</v>
      </c>
      <c r="W601" s="112" t="s">
        <v>1401</v>
      </c>
      <c r="X601" s="128">
        <v>1150</v>
      </c>
    </row>
    <row r="602" spans="2:24" ht="15.75" x14ac:dyDescent="0.25">
      <c r="B602" s="126">
        <v>44354</v>
      </c>
      <c r="C602" s="188" t="str">
        <f>TEXT(VEND[[#This Row],[Fecha de Envío
Cotización]],"mmmm")</f>
        <v>junio</v>
      </c>
      <c r="D602" s="66" t="s">
        <v>50</v>
      </c>
      <c r="E602" s="190" t="s">
        <v>88</v>
      </c>
      <c r="F602" s="125" t="str">
        <f>IF(VEND[[#This Row],[STATUS]]="PERDIDO","N/A","En espera")</f>
        <v>En espera</v>
      </c>
      <c r="G602" s="127" t="str">
        <f>TEXT(VEND[[#This Row],[Fecha Recibe
O.C]],"mmmm")</f>
        <v>En espera</v>
      </c>
      <c r="H602" s="128">
        <v>716</v>
      </c>
      <c r="I602" s="112" t="s">
        <v>283</v>
      </c>
      <c r="J602" s="128"/>
      <c r="K602" s="129">
        <v>1</v>
      </c>
      <c r="L602" s="189">
        <v>2060.13</v>
      </c>
      <c r="M602" s="112" t="s">
        <v>119</v>
      </c>
      <c r="N602" s="112">
        <v>0</v>
      </c>
      <c r="O602" s="212" t="str">
        <f>IF(VEND[[#This Row],[STATUS]]="O.C",(VEND[[#This Row],[Fecha Recibe
O.C]]+VEND[[#This Row],[Dias
entrega ]]),"")</f>
        <v/>
      </c>
      <c r="P602" s="216"/>
      <c r="Q602" s="129" t="str">
        <f>IFERROR(VEND[[#This Row],[Fecha de Despacho]]-VEND[[#This Row],[Fecha Estimada de Entrega a  Cliente]],"")</f>
        <v/>
      </c>
      <c r="R60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2" s="128" t="str">
        <f>IF(VEND[[#This Row],[STATUS]]="O.C","APROBADO",IF(VEND[[#This Row],[STATUS]]="PERDIDO","PERDIDO",IF(VEND[[#This Row],[STATUS]]="EN ESPERA","EN ESPERA")))</f>
        <v>EN ESPERA</v>
      </c>
      <c r="T602" s="128" t="str">
        <f>IF(VEND[[#This Row],[STATUS]]="O.C","APROBADO",IF(VEND[[#This Row],[STATUS]]="PERDIDO","PERDIDO",IF(VEND[[#This Row],[STATUS]]="EN ESPERA","EN ESPERA")))</f>
        <v>EN ESPERA</v>
      </c>
      <c r="U602" s="112" t="s">
        <v>46</v>
      </c>
      <c r="V602" s="112" t="s">
        <v>46</v>
      </c>
      <c r="W602" s="112" t="s">
        <v>1925</v>
      </c>
      <c r="X602" s="128"/>
    </row>
    <row r="603" spans="2:24" ht="15.75" x14ac:dyDescent="0.25">
      <c r="B603" s="71">
        <v>44354</v>
      </c>
      <c r="C603" s="195" t="str">
        <f>TEXT(VEND[[#This Row],[Fecha de Envío
Cotización]],"mmmm")</f>
        <v>junio</v>
      </c>
      <c r="D603" s="66" t="s">
        <v>50</v>
      </c>
      <c r="E603" s="190" t="s">
        <v>83</v>
      </c>
      <c r="F603" s="125">
        <v>44356</v>
      </c>
      <c r="G603" s="127" t="str">
        <f>TEXT(VEND[[#This Row],[Fecha Recibe
O.C]],"mmmm")</f>
        <v>junio</v>
      </c>
      <c r="H603" s="112">
        <v>719</v>
      </c>
      <c r="I603" s="112" t="s">
        <v>283</v>
      </c>
      <c r="J603" s="112"/>
      <c r="K603" s="58">
        <v>3</v>
      </c>
      <c r="L603" s="123">
        <v>3796.48</v>
      </c>
      <c r="M603" s="112" t="s">
        <v>119</v>
      </c>
      <c r="N603" s="112">
        <v>2</v>
      </c>
      <c r="O603" s="212">
        <f>IF(VEND[[#This Row],[STATUS]]="O.C",(VEND[[#This Row],[Fecha Recibe
O.C]]+VEND[[#This Row],[Dias
entrega ]]),"")</f>
        <v>44358</v>
      </c>
      <c r="P603" s="212">
        <v>44357</v>
      </c>
      <c r="Q603" s="58">
        <f>IFERROR(VEND[[#This Row],[Fecha de Despacho]]-VEND[[#This Row],[Fecha Estimada de Entrega a  Cliente]],"")</f>
        <v>-1</v>
      </c>
      <c r="R60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3" s="112" t="str">
        <f>IF(VEND[[#This Row],[STATUS]]="O.C","APROBADO",IF(VEND[[#This Row],[STATUS]]="PERDIDO","PERDIDO",IF(VEND[[#This Row],[STATUS]]="EN ESPERA","EN ESPERA")))</f>
        <v>APROBADO</v>
      </c>
      <c r="T603" s="112" t="str">
        <f>IF(VEND[[#This Row],[STATUS]]="O.C","APROBADO",IF(VEND[[#This Row],[STATUS]]="PERDIDO","PERDIDO",IF(VEND[[#This Row],[STATUS]]="EN ESPERA","EN ESPERA")))</f>
        <v>APROBADO</v>
      </c>
      <c r="U603" s="112" t="s">
        <v>45</v>
      </c>
      <c r="V603" s="112" t="s">
        <v>46</v>
      </c>
      <c r="W603" s="112" t="s">
        <v>1404</v>
      </c>
      <c r="X603" s="112">
        <v>5500025816</v>
      </c>
    </row>
    <row r="604" spans="2:24" ht="15.75" x14ac:dyDescent="0.25">
      <c r="B604" s="71">
        <v>44354</v>
      </c>
      <c r="C604" s="195" t="str">
        <f>TEXT(VEND[[#This Row],[Fecha de Envío
Cotización]],"mmmm")</f>
        <v>junio</v>
      </c>
      <c r="D604" s="66" t="s">
        <v>945</v>
      </c>
      <c r="E604" s="190" t="s">
        <v>88</v>
      </c>
      <c r="F604" s="125" t="str">
        <f>IF(VEND[[#This Row],[STATUS]]="PERDIDO","N/A","En espera")</f>
        <v>En espera</v>
      </c>
      <c r="G604" s="127" t="str">
        <f>TEXT(VEND[[#This Row],[Fecha Recibe
O.C]],"mmmm")</f>
        <v>En espera</v>
      </c>
      <c r="H604" s="112">
        <v>720</v>
      </c>
      <c r="I604" s="112" t="s">
        <v>31</v>
      </c>
      <c r="J604" s="112"/>
      <c r="K604" s="58">
        <v>16</v>
      </c>
      <c r="L604" s="123">
        <v>7520.18</v>
      </c>
      <c r="M604" s="112" t="s">
        <v>119</v>
      </c>
      <c r="N604" s="112">
        <v>0</v>
      </c>
      <c r="O604" s="212" t="str">
        <f>IF(VEND[[#This Row],[STATUS]]="O.C",(VEND[[#This Row],[Fecha Recibe
O.C]]+VEND[[#This Row],[Dias
entrega ]]),"")</f>
        <v/>
      </c>
      <c r="P604" s="212"/>
      <c r="Q604" s="58" t="str">
        <f>IFERROR(VEND[[#This Row],[Fecha de Despacho]]-VEND[[#This Row],[Fecha Estimada de Entrega a  Cliente]],"")</f>
        <v/>
      </c>
      <c r="R60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4" s="112" t="str">
        <f>IF(VEND[[#This Row],[STATUS]]="O.C","APROBADO",IF(VEND[[#This Row],[STATUS]]="PERDIDO","PERDIDO",IF(VEND[[#This Row],[STATUS]]="EN ESPERA","EN ESPERA")))</f>
        <v>EN ESPERA</v>
      </c>
      <c r="T604" s="112" t="str">
        <f>IF(VEND[[#This Row],[STATUS]]="O.C","APROBADO",IF(VEND[[#This Row],[STATUS]]="PERDIDO","PERDIDO",IF(VEND[[#This Row],[STATUS]]="EN ESPERA","EN ESPERA")))</f>
        <v>EN ESPERA</v>
      </c>
      <c r="U604" s="112" t="s">
        <v>46</v>
      </c>
      <c r="V604" s="112" t="s">
        <v>46</v>
      </c>
      <c r="W604" s="112" t="s">
        <v>1410</v>
      </c>
      <c r="X604" s="112"/>
    </row>
    <row r="605" spans="2:24" ht="15.75" x14ac:dyDescent="0.25">
      <c r="B605" s="71">
        <v>44354</v>
      </c>
      <c r="C605" s="195" t="str">
        <f>TEXT(VEND[[#This Row],[Fecha de Envío
Cotización]],"mmmm")</f>
        <v>junio</v>
      </c>
      <c r="D605" s="66" t="s">
        <v>50</v>
      </c>
      <c r="E605" s="190" t="s">
        <v>88</v>
      </c>
      <c r="F605" s="125" t="str">
        <f>IF(VEND[[#This Row],[STATUS]]="PERDIDO","N/A","En espera")</f>
        <v>En espera</v>
      </c>
      <c r="G605" s="93" t="str">
        <f>TEXT(VEND[[#This Row],[Fecha Recibe
O.C]],"mmmm")</f>
        <v>En espera</v>
      </c>
      <c r="H605" s="112">
        <v>721</v>
      </c>
      <c r="I605" s="112" t="s">
        <v>283</v>
      </c>
      <c r="J605" s="112"/>
      <c r="K605" s="58">
        <v>1</v>
      </c>
      <c r="L605" s="123">
        <v>4993.8100000000004</v>
      </c>
      <c r="M605" s="112" t="s">
        <v>119</v>
      </c>
      <c r="N605" s="112">
        <v>0</v>
      </c>
      <c r="O605" s="212" t="str">
        <f>IF(VEND[[#This Row],[STATUS]]="O.C",(VEND[[#This Row],[Fecha Recibe
O.C]]+VEND[[#This Row],[Dias
entrega ]]),"")</f>
        <v/>
      </c>
      <c r="P605" s="212"/>
      <c r="Q605" s="58" t="str">
        <f>IFERROR(VEND[[#This Row],[Fecha de Despacho]]-VEND[[#This Row],[Fecha Estimada de Entrega a  Cliente]],"")</f>
        <v/>
      </c>
      <c r="R60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5" s="112" t="str">
        <f>IF(VEND[[#This Row],[STATUS]]="O.C","APROBADO",IF(VEND[[#This Row],[STATUS]]="PERDIDO","PERDIDO",IF(VEND[[#This Row],[STATUS]]="EN ESPERA","EN ESPERA")))</f>
        <v>EN ESPERA</v>
      </c>
      <c r="T605" s="112" t="str">
        <f>IF(VEND[[#This Row],[STATUS]]="O.C","APROBADO",IF(VEND[[#This Row],[STATUS]]="PERDIDO","PERDIDO",IF(VEND[[#This Row],[STATUS]]="EN ESPERA","EN ESPERA")))</f>
        <v>EN ESPERA</v>
      </c>
      <c r="U605" s="112" t="s">
        <v>23</v>
      </c>
      <c r="V605" s="112" t="s">
        <v>23</v>
      </c>
      <c r="W605" s="112" t="s">
        <v>1404</v>
      </c>
      <c r="X605" s="112"/>
    </row>
    <row r="606" spans="2:24" ht="15.75" x14ac:dyDescent="0.25">
      <c r="B606" s="71">
        <v>44354</v>
      </c>
      <c r="C606" s="195" t="str">
        <f>TEXT(VEND[[#This Row],[Fecha de Envío
Cotización]],"mmmm")</f>
        <v>junio</v>
      </c>
      <c r="D606" s="66" t="s">
        <v>50</v>
      </c>
      <c r="E606" s="190" t="s">
        <v>88</v>
      </c>
      <c r="F606" s="125" t="str">
        <f>IF(VEND[[#This Row],[STATUS]]="PERDIDO","N/A","En espera")</f>
        <v>En espera</v>
      </c>
      <c r="G606" s="93" t="str">
        <f>TEXT(VEND[[#This Row],[Fecha Recibe
O.C]],"mmmm")</f>
        <v>En espera</v>
      </c>
      <c r="H606" s="112">
        <v>722</v>
      </c>
      <c r="I606" s="112" t="s">
        <v>283</v>
      </c>
      <c r="J606" s="112"/>
      <c r="K606" s="58">
        <v>1</v>
      </c>
      <c r="L606" s="123">
        <v>3241.88</v>
      </c>
      <c r="M606" s="112" t="s">
        <v>16</v>
      </c>
      <c r="N606" s="112">
        <v>21</v>
      </c>
      <c r="O606" s="212" t="str">
        <f>IF(VEND[[#This Row],[STATUS]]="O.C",(VEND[[#This Row],[Fecha Recibe
O.C]]+VEND[[#This Row],[Dias
entrega ]]),"")</f>
        <v/>
      </c>
      <c r="P606" s="212"/>
      <c r="Q606" s="58" t="str">
        <f>IFERROR(VEND[[#This Row],[Fecha de Despacho]]-VEND[[#This Row],[Fecha Estimada de Entrega a  Cliente]],"")</f>
        <v/>
      </c>
      <c r="R60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6" s="112" t="str">
        <f>IF(VEND[[#This Row],[STATUS]]="O.C","APROBADO",IF(VEND[[#This Row],[STATUS]]="PERDIDO","PERDIDO",IF(VEND[[#This Row],[STATUS]]="EN ESPERA","EN ESPERA")))</f>
        <v>EN ESPERA</v>
      </c>
      <c r="T606" s="112" t="str">
        <f>IF(VEND[[#This Row],[STATUS]]="O.C","APROBADO",IF(VEND[[#This Row],[STATUS]]="PERDIDO","PERDIDO",IF(VEND[[#This Row],[STATUS]]="EN ESPERA","EN ESPERA")))</f>
        <v>EN ESPERA</v>
      </c>
      <c r="U606" s="112" t="s">
        <v>23</v>
      </c>
      <c r="V606" s="112" t="s">
        <v>23</v>
      </c>
      <c r="W606" s="112" t="s">
        <v>1404</v>
      </c>
      <c r="X606" s="112" t="s">
        <v>1967</v>
      </c>
    </row>
    <row r="607" spans="2:24" ht="15.75" x14ac:dyDescent="0.25">
      <c r="B607" s="71">
        <v>44354</v>
      </c>
      <c r="C607" s="195" t="str">
        <f>TEXT(VEND[[#This Row],[Fecha de Envío
Cotización]],"mmmm")</f>
        <v>junio</v>
      </c>
      <c r="D607" s="66" t="s">
        <v>68</v>
      </c>
      <c r="E607" s="190" t="s">
        <v>88</v>
      </c>
      <c r="F607" s="125" t="str">
        <f>IF(VEND[[#This Row],[STATUS]]="PERDIDO","N/A","En espera")</f>
        <v>En espera</v>
      </c>
      <c r="G607" s="93" t="str">
        <f>TEXT(VEND[[#This Row],[Fecha Recibe
O.C]],"mmmm")</f>
        <v>En espera</v>
      </c>
      <c r="H607" s="112">
        <v>723</v>
      </c>
      <c r="I607" s="112" t="s">
        <v>29</v>
      </c>
      <c r="J607" s="112"/>
      <c r="K607" s="58">
        <v>1</v>
      </c>
      <c r="L607" s="123">
        <v>891.45</v>
      </c>
      <c r="M607" s="112" t="s">
        <v>119</v>
      </c>
      <c r="N607" s="112">
        <v>0</v>
      </c>
      <c r="O607" s="212" t="str">
        <f>IF(VEND[[#This Row],[STATUS]]="O.C",(VEND[[#This Row],[Fecha Recibe
O.C]]+VEND[[#This Row],[Dias
entrega ]]),"")</f>
        <v/>
      </c>
      <c r="P607" s="212"/>
      <c r="Q607" s="58" t="str">
        <f>IFERROR(VEND[[#This Row],[Fecha de Despacho]]-VEND[[#This Row],[Fecha Estimada de Entrega a  Cliente]],"")</f>
        <v/>
      </c>
      <c r="R607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7" s="112" t="str">
        <f>IF(VEND[[#This Row],[STATUS]]="O.C","APROBADO",IF(VEND[[#This Row],[STATUS]]="PERDIDO","PERDIDO",IF(VEND[[#This Row],[STATUS]]="EN ESPERA","EN ESPERA")))</f>
        <v>EN ESPERA</v>
      </c>
      <c r="T607" s="112" t="str">
        <f>IF(VEND[[#This Row],[STATUS]]="O.C","APROBADO",IF(VEND[[#This Row],[STATUS]]="PERDIDO","PERDIDO",IF(VEND[[#This Row],[STATUS]]="EN ESPERA","EN ESPERA")))</f>
        <v>EN ESPERA</v>
      </c>
      <c r="U607" s="112" t="s">
        <v>23</v>
      </c>
      <c r="V607" s="112" t="s">
        <v>23</v>
      </c>
      <c r="W607" s="112" t="s">
        <v>1402</v>
      </c>
      <c r="X607" s="112"/>
    </row>
    <row r="608" spans="2:24" ht="15.75" x14ac:dyDescent="0.25">
      <c r="B608" s="71">
        <v>44354</v>
      </c>
      <c r="C608" s="195" t="str">
        <f>TEXT(VEND[[#This Row],[Fecha de Envío
Cotización]],"mmmm")</f>
        <v>junio</v>
      </c>
      <c r="D608" s="66" t="s">
        <v>1163</v>
      </c>
      <c r="E608" s="190" t="s">
        <v>88</v>
      </c>
      <c r="F608" s="125" t="str">
        <f>IF(VEND[[#This Row],[STATUS]]="PERDIDO","N/A","En espera")</f>
        <v>En espera</v>
      </c>
      <c r="G608" s="93" t="str">
        <f>TEXT(VEND[[#This Row],[Fecha Recibe
O.C]],"mmmm")</f>
        <v>En espera</v>
      </c>
      <c r="H608" s="112">
        <v>727</v>
      </c>
      <c r="I608" s="37" t="s">
        <v>2054</v>
      </c>
      <c r="J608" s="112"/>
      <c r="K608" s="58">
        <v>1</v>
      </c>
      <c r="L608" s="123">
        <v>155200</v>
      </c>
      <c r="M608" s="112"/>
      <c r="N608" s="112"/>
      <c r="O608" s="212" t="str">
        <f>IF(VEND[[#This Row],[STATUS]]="O.C",(VEND[[#This Row],[Fecha Recibe
O.C]]+VEND[[#This Row],[Dias
entrega ]]),"")</f>
        <v/>
      </c>
      <c r="P608" s="212"/>
      <c r="Q608" s="58" t="str">
        <f>IFERROR(VEND[[#This Row],[Fecha de Despacho]]-VEND[[#This Row],[Fecha Estimada de Entrega a  Cliente]],"")</f>
        <v/>
      </c>
      <c r="R608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8" s="112" t="str">
        <f>IF(VEND[[#This Row],[STATUS]]="O.C","APROBADO",IF(VEND[[#This Row],[STATUS]]="PERDIDO","PERDIDO",IF(VEND[[#This Row],[STATUS]]="EN ESPERA","EN ESPERA")))</f>
        <v>EN ESPERA</v>
      </c>
      <c r="T608" s="112" t="str">
        <f>IF(VEND[[#This Row],[STATUS]]="O.C","APROBADO",IF(VEND[[#This Row],[STATUS]]="PERDIDO","PERDIDO",IF(VEND[[#This Row],[STATUS]]="EN ESPERA","EN ESPERA")))</f>
        <v>EN ESPERA</v>
      </c>
      <c r="U608" s="112" t="s">
        <v>46</v>
      </c>
      <c r="V608" s="112" t="s">
        <v>46</v>
      </c>
      <c r="W608" s="112" t="s">
        <v>1401</v>
      </c>
      <c r="X608" s="112"/>
    </row>
    <row r="609" spans="2:24" ht="15.75" x14ac:dyDescent="0.25">
      <c r="B609" s="126">
        <v>44354</v>
      </c>
      <c r="C609" s="188" t="str">
        <f>TEXT(VEND[[#This Row],[Fecha de Envío
Cotización]],"mmmm")</f>
        <v>junio</v>
      </c>
      <c r="D609" s="66" t="s">
        <v>50</v>
      </c>
      <c r="E609" s="190" t="s">
        <v>88</v>
      </c>
      <c r="F609" s="125" t="str">
        <f>IF(VEND[[#This Row],[STATUS]]="PERDIDO","N/A","En espera")</f>
        <v>En espera</v>
      </c>
      <c r="G609" s="127" t="str">
        <f>TEXT(VEND[[#This Row],[Fecha Recibe
O.C]],"mmmm")</f>
        <v>En espera</v>
      </c>
      <c r="H609" s="128">
        <v>728</v>
      </c>
      <c r="I609" s="112" t="s">
        <v>283</v>
      </c>
      <c r="J609" s="128"/>
      <c r="K609" s="129">
        <v>1</v>
      </c>
      <c r="L609" s="189">
        <v>1493.69</v>
      </c>
      <c r="M609" s="112" t="s">
        <v>419</v>
      </c>
      <c r="N609" s="112">
        <v>21</v>
      </c>
      <c r="O609" s="212" t="str">
        <f>IF(VEND[[#This Row],[STATUS]]="O.C",(VEND[[#This Row],[Fecha Recibe
O.C]]+VEND[[#This Row],[Dias
entrega ]]),"")</f>
        <v/>
      </c>
      <c r="P609" s="216"/>
      <c r="Q609" s="129" t="str">
        <f>IFERROR(VEND[[#This Row],[Fecha de Despacho]]-VEND[[#This Row],[Fecha Estimada de Entrega a  Cliente]],"")</f>
        <v/>
      </c>
      <c r="R60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09" s="128" t="str">
        <f>IF(VEND[[#This Row],[STATUS]]="O.C","APROBADO",IF(VEND[[#This Row],[STATUS]]="PERDIDO","PERDIDO",IF(VEND[[#This Row],[STATUS]]="EN ESPERA","EN ESPERA")))</f>
        <v>EN ESPERA</v>
      </c>
      <c r="T609" s="128" t="str">
        <f>IF(VEND[[#This Row],[STATUS]]="O.C","APROBADO",IF(VEND[[#This Row],[STATUS]]="PERDIDO","PERDIDO",IF(VEND[[#This Row],[STATUS]]="EN ESPERA","EN ESPERA")))</f>
        <v>EN ESPERA</v>
      </c>
      <c r="U609" s="112" t="s">
        <v>23</v>
      </c>
      <c r="V609" s="112" t="s">
        <v>23</v>
      </c>
      <c r="W609" s="112" t="s">
        <v>1402</v>
      </c>
      <c r="X609" s="128"/>
    </row>
    <row r="610" spans="2:24" ht="15.75" x14ac:dyDescent="0.25">
      <c r="B610" s="126">
        <v>44354</v>
      </c>
      <c r="C610" s="188" t="str">
        <f>TEXT(VEND[[#This Row],[Fecha de Envío
Cotización]],"mmmm")</f>
        <v>junio</v>
      </c>
      <c r="D610" s="66" t="s">
        <v>50</v>
      </c>
      <c r="E610" s="190" t="s">
        <v>88</v>
      </c>
      <c r="F610" s="125" t="str">
        <f>IF(VEND[[#This Row],[STATUS]]="PERDIDO","N/A","En espera")</f>
        <v>En espera</v>
      </c>
      <c r="G610" s="127" t="str">
        <f>TEXT(VEND[[#This Row],[Fecha Recibe
O.C]],"mmmm")</f>
        <v>En espera</v>
      </c>
      <c r="H610" s="128">
        <v>730</v>
      </c>
      <c r="I610" s="112" t="s">
        <v>33</v>
      </c>
      <c r="J610" s="128"/>
      <c r="K610" s="129">
        <v>7</v>
      </c>
      <c r="L610" s="189">
        <v>4940.21</v>
      </c>
      <c r="M610" s="112" t="s">
        <v>134</v>
      </c>
      <c r="N610" s="112">
        <v>28</v>
      </c>
      <c r="O610" s="212" t="str">
        <f>IF(VEND[[#This Row],[STATUS]]="O.C",(VEND[[#This Row],[Fecha Recibe
O.C]]+VEND[[#This Row],[Dias
entrega ]]),"")</f>
        <v/>
      </c>
      <c r="P610" s="216"/>
      <c r="Q610" s="129" t="str">
        <f>IFERROR(VEND[[#This Row],[Fecha de Despacho]]-VEND[[#This Row],[Fecha Estimada de Entrega a  Cliente]],"")</f>
        <v/>
      </c>
      <c r="R610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0" s="128" t="str">
        <f>IF(VEND[[#This Row],[STATUS]]="O.C","APROBADO",IF(VEND[[#This Row],[STATUS]]="PERDIDO","PERDIDO",IF(VEND[[#This Row],[STATUS]]="EN ESPERA","EN ESPERA")))</f>
        <v>EN ESPERA</v>
      </c>
      <c r="T610" s="128" t="str">
        <f>IF(VEND[[#This Row],[STATUS]]="O.C","APROBADO",IF(VEND[[#This Row],[STATUS]]="PERDIDO","PERDIDO",IF(VEND[[#This Row],[STATUS]]="EN ESPERA","EN ESPERA")))</f>
        <v>EN ESPERA</v>
      </c>
      <c r="U610" s="112" t="s">
        <v>23</v>
      </c>
      <c r="V610" s="112" t="s">
        <v>23</v>
      </c>
      <c r="W610" s="112" t="s">
        <v>1402</v>
      </c>
      <c r="X610" s="128"/>
    </row>
    <row r="611" spans="2:24" ht="15.75" x14ac:dyDescent="0.25">
      <c r="B611" s="126">
        <v>44354</v>
      </c>
      <c r="C611" s="188" t="str">
        <f>TEXT(VEND[[#This Row],[Fecha de Envío
Cotización]],"mmmm")</f>
        <v>junio</v>
      </c>
      <c r="D611" s="66" t="s">
        <v>68</v>
      </c>
      <c r="E611" s="190" t="s">
        <v>88</v>
      </c>
      <c r="F611" s="125" t="str">
        <f>IF(VEND[[#This Row],[STATUS]]="PERDIDO","N/A","En espera")</f>
        <v>En espera</v>
      </c>
      <c r="G611" s="127" t="str">
        <f>TEXT(VEND[[#This Row],[Fecha Recibe
O.C]],"mmmm")</f>
        <v>En espera</v>
      </c>
      <c r="H611" s="128">
        <v>731</v>
      </c>
      <c r="I611" s="112" t="s">
        <v>109</v>
      </c>
      <c r="J611" s="128"/>
      <c r="K611" s="129">
        <v>1</v>
      </c>
      <c r="L611" s="189">
        <v>16179.47</v>
      </c>
      <c r="M611" s="112" t="s">
        <v>36</v>
      </c>
      <c r="N611" s="112">
        <v>28</v>
      </c>
      <c r="O611" s="212" t="str">
        <f>IF(VEND[[#This Row],[STATUS]]="O.C",(VEND[[#This Row],[Fecha Recibe
O.C]]+VEND[[#This Row],[Dias
entrega ]]),"")</f>
        <v/>
      </c>
      <c r="P611" s="216"/>
      <c r="Q611" s="129" t="str">
        <f>IFERROR(VEND[[#This Row],[Fecha de Despacho]]-VEND[[#This Row],[Fecha Estimada de Entrega a  Cliente]],"")</f>
        <v/>
      </c>
      <c r="R611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1" s="128" t="str">
        <f>IF(VEND[[#This Row],[STATUS]]="O.C","APROBADO",IF(VEND[[#This Row],[STATUS]]="PERDIDO","PERDIDO",IF(VEND[[#This Row],[STATUS]]="EN ESPERA","EN ESPERA")))</f>
        <v>EN ESPERA</v>
      </c>
      <c r="T611" s="128" t="str">
        <f>IF(VEND[[#This Row],[STATUS]]="O.C","APROBADO",IF(VEND[[#This Row],[STATUS]]="PERDIDO","PERDIDO",IF(VEND[[#This Row],[STATUS]]="EN ESPERA","EN ESPERA")))</f>
        <v>EN ESPERA</v>
      </c>
      <c r="U611" s="112" t="s">
        <v>23</v>
      </c>
      <c r="V611" s="112" t="s">
        <v>23</v>
      </c>
      <c r="W611" s="112" t="s">
        <v>1401</v>
      </c>
      <c r="X611" s="128"/>
    </row>
    <row r="612" spans="2:24" ht="15.75" x14ac:dyDescent="0.25">
      <c r="B612" s="126">
        <v>44354</v>
      </c>
      <c r="C612" s="188" t="str">
        <f>TEXT(VEND[[#This Row],[Fecha de Envío
Cotización]],"mmmm")</f>
        <v>junio</v>
      </c>
      <c r="D612" s="66" t="s">
        <v>50</v>
      </c>
      <c r="E612" s="190" t="s">
        <v>88</v>
      </c>
      <c r="F612" s="125" t="str">
        <f>IF(VEND[[#This Row],[STATUS]]="PERDIDO","N/A","En espera")</f>
        <v>En espera</v>
      </c>
      <c r="G612" s="127" t="str">
        <f>TEXT(VEND[[#This Row],[Fecha Recibe
O.C]],"mmmm")</f>
        <v>En espera</v>
      </c>
      <c r="H612" s="128">
        <v>732</v>
      </c>
      <c r="I612" s="112" t="s">
        <v>283</v>
      </c>
      <c r="J612" s="128"/>
      <c r="K612" s="129">
        <v>1</v>
      </c>
      <c r="L612" s="189">
        <v>334.38</v>
      </c>
      <c r="M612" s="112" t="s">
        <v>36</v>
      </c>
      <c r="N612" s="112">
        <v>28</v>
      </c>
      <c r="O612" s="212" t="str">
        <f>IF(VEND[[#This Row],[STATUS]]="O.C",(VEND[[#This Row],[Fecha Recibe
O.C]]+VEND[[#This Row],[Dias
entrega ]]),"")</f>
        <v/>
      </c>
      <c r="P612" s="216"/>
      <c r="Q612" s="129" t="str">
        <f>IFERROR(VEND[[#This Row],[Fecha de Despacho]]-VEND[[#This Row],[Fecha Estimada de Entrega a  Cliente]],"")</f>
        <v/>
      </c>
      <c r="R612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2" s="128" t="str">
        <f>IF(VEND[[#This Row],[STATUS]]="O.C","APROBADO",IF(VEND[[#This Row],[STATUS]]="PERDIDO","PERDIDO",IF(VEND[[#This Row],[STATUS]]="EN ESPERA","EN ESPERA")))</f>
        <v>EN ESPERA</v>
      </c>
      <c r="T612" s="128" t="str">
        <f>IF(VEND[[#This Row],[STATUS]]="O.C","APROBADO",IF(VEND[[#This Row],[STATUS]]="PERDIDO","PERDIDO",IF(VEND[[#This Row],[STATUS]]="EN ESPERA","EN ESPERA")))</f>
        <v>EN ESPERA</v>
      </c>
      <c r="U612" s="112" t="s">
        <v>23</v>
      </c>
      <c r="V612" s="112" t="s">
        <v>23</v>
      </c>
      <c r="W612" s="112" t="s">
        <v>1402</v>
      </c>
      <c r="X612" s="128"/>
    </row>
    <row r="613" spans="2:24" ht="15.75" x14ac:dyDescent="0.25">
      <c r="B613" s="126">
        <v>44354</v>
      </c>
      <c r="C613" s="188" t="str">
        <f>TEXT(VEND[[#This Row],[Fecha de Envío
Cotización]],"mmmm")</f>
        <v>junio</v>
      </c>
      <c r="D613" s="66" t="s">
        <v>50</v>
      </c>
      <c r="E613" s="190" t="s">
        <v>88</v>
      </c>
      <c r="F613" s="125" t="str">
        <f>IF(VEND[[#This Row],[STATUS]]="PERDIDO","N/A","En espera")</f>
        <v>En espera</v>
      </c>
      <c r="G613" s="127" t="str">
        <f>TEXT(VEND[[#This Row],[Fecha Recibe
O.C]],"mmmm")</f>
        <v>En espera</v>
      </c>
      <c r="H613" s="128">
        <v>733</v>
      </c>
      <c r="I613" s="112" t="s">
        <v>33</v>
      </c>
      <c r="J613" s="128"/>
      <c r="K613" s="129">
        <v>1</v>
      </c>
      <c r="L613" s="189">
        <v>1552.34</v>
      </c>
      <c r="M613" s="112" t="s">
        <v>127</v>
      </c>
      <c r="N613" s="112">
        <v>3</v>
      </c>
      <c r="O613" s="212" t="str">
        <f>IF(VEND[[#This Row],[STATUS]]="O.C",(VEND[[#This Row],[Fecha Recibe
O.C]]+VEND[[#This Row],[Dias
entrega ]]),"")</f>
        <v/>
      </c>
      <c r="P613" s="216"/>
      <c r="Q613" s="129" t="str">
        <f>IFERROR(VEND[[#This Row],[Fecha de Despacho]]-VEND[[#This Row],[Fecha Estimada de Entrega a  Cliente]],"")</f>
        <v/>
      </c>
      <c r="R613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3" s="128" t="str">
        <f>IF(VEND[[#This Row],[STATUS]]="O.C","APROBADO",IF(VEND[[#This Row],[STATUS]]="PERDIDO","PERDIDO",IF(VEND[[#This Row],[STATUS]]="EN ESPERA","EN ESPERA")))</f>
        <v>EN ESPERA</v>
      </c>
      <c r="T613" s="128" t="str">
        <f>IF(VEND[[#This Row],[STATUS]]="O.C","APROBADO",IF(VEND[[#This Row],[STATUS]]="PERDIDO","PERDIDO",IF(VEND[[#This Row],[STATUS]]="EN ESPERA","EN ESPERA")))</f>
        <v>EN ESPERA</v>
      </c>
      <c r="U613" s="112" t="s">
        <v>23</v>
      </c>
      <c r="V613" s="112" t="s">
        <v>23</v>
      </c>
      <c r="W613" s="112" t="s">
        <v>1402</v>
      </c>
      <c r="X613" s="128"/>
    </row>
    <row r="614" spans="2:24" ht="15.75" x14ac:dyDescent="0.25">
      <c r="B614" s="71">
        <v>44354</v>
      </c>
      <c r="C614" s="195" t="str">
        <f>TEXT(VEND[[#This Row],[Fecha de Envío
Cotización]],"mmmm")</f>
        <v>junio</v>
      </c>
      <c r="D614" s="66" t="s">
        <v>41</v>
      </c>
      <c r="E614" s="190" t="s">
        <v>88</v>
      </c>
      <c r="F614" s="125" t="str">
        <f>IF(VEND[[#This Row],[STATUS]]="PERDIDO","N/A","En espera")</f>
        <v>En espera</v>
      </c>
      <c r="G614" s="93" t="str">
        <f>TEXT(VEND[[#This Row],[Fecha Recibe
O.C]],"mmmm")</f>
        <v>En espera</v>
      </c>
      <c r="H614" s="112">
        <v>3543</v>
      </c>
      <c r="I614" s="112" t="s">
        <v>329</v>
      </c>
      <c r="J614" s="112"/>
      <c r="K614" s="58">
        <v>1</v>
      </c>
      <c r="L614" s="123">
        <v>788.71</v>
      </c>
      <c r="M614" s="112" t="s">
        <v>1571</v>
      </c>
      <c r="N614" s="112">
        <v>2</v>
      </c>
      <c r="O614" s="212" t="str">
        <f>IF(VEND[[#This Row],[STATUS]]="O.C",(VEND[[#This Row],[Fecha Recibe
O.C]]+VEND[[#This Row],[Dias
entrega ]]),"")</f>
        <v/>
      </c>
      <c r="P614" s="212"/>
      <c r="Q614" s="58" t="str">
        <f>IFERROR(VEND[[#This Row],[Fecha de Despacho]]-VEND[[#This Row],[Fecha Estimada de Entrega a  Cliente]],"")</f>
        <v/>
      </c>
      <c r="R614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4" s="112" t="str">
        <f>IF(VEND[[#This Row],[STATUS]]="O.C","APROBADO",IF(VEND[[#This Row],[STATUS]]="PERDIDO","PERDIDO",IF(VEND[[#This Row],[STATUS]]="EN ESPERA","EN ESPERA")))</f>
        <v>EN ESPERA</v>
      </c>
      <c r="T614" s="112" t="str">
        <f>IF(VEND[[#This Row],[STATUS]]="O.C","APROBADO",IF(VEND[[#This Row],[STATUS]]="PERDIDO","PERDIDO",IF(VEND[[#This Row],[STATUS]]="EN ESPERA","EN ESPERA")))</f>
        <v>EN ESPERA</v>
      </c>
      <c r="U614" s="112" t="s">
        <v>23</v>
      </c>
      <c r="V614" s="112" t="s">
        <v>23</v>
      </c>
      <c r="W614" s="112" t="s">
        <v>1405</v>
      </c>
      <c r="X614" s="112"/>
    </row>
    <row r="615" spans="2:24" ht="15.75" x14ac:dyDescent="0.25">
      <c r="B615" s="126">
        <v>44354</v>
      </c>
      <c r="C615" s="188" t="str">
        <f>TEXT(VEND[[#This Row],[Fecha de Envío
Cotización]],"mmmm")</f>
        <v>junio</v>
      </c>
      <c r="D615" s="66" t="s">
        <v>41</v>
      </c>
      <c r="E615" s="190" t="s">
        <v>42</v>
      </c>
      <c r="F615" s="125" t="str">
        <f>IF(VEND[[#This Row],[STATUS]]="PERDIDO","N/A","En espera")</f>
        <v>N/A</v>
      </c>
      <c r="G615" s="127" t="str">
        <f>TEXT(VEND[[#This Row],[Fecha Recibe
O.C]],"mmmm")</f>
        <v>N/A</v>
      </c>
      <c r="H615" s="128">
        <v>3544</v>
      </c>
      <c r="I615" s="112" t="s">
        <v>76</v>
      </c>
      <c r="J615" s="128"/>
      <c r="K615" s="129">
        <v>1</v>
      </c>
      <c r="L615" s="189">
        <v>3113.14</v>
      </c>
      <c r="M615" s="112" t="s">
        <v>419</v>
      </c>
      <c r="N615" s="112">
        <v>35</v>
      </c>
      <c r="O615" s="212" t="str">
        <f>IF(VEND[[#This Row],[STATUS]]="O.C",(VEND[[#This Row],[Fecha Recibe
O.C]]+VEND[[#This Row],[Dias
entrega ]]),"")</f>
        <v/>
      </c>
      <c r="P615" s="216"/>
      <c r="Q615" s="129" t="str">
        <f>IFERROR(VEND[[#This Row],[Fecha de Despacho]]-VEND[[#This Row],[Fecha Estimada de Entrega a  Cliente]],"")</f>
        <v/>
      </c>
      <c r="R615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5" s="128" t="str">
        <f>IF(VEND[[#This Row],[STATUS]]="O.C","APROBADO",IF(VEND[[#This Row],[STATUS]]="PERDIDO","PERDIDO",IF(VEND[[#This Row],[STATUS]]="EN ESPERA","EN ESPERA")))</f>
        <v>PERDIDO</v>
      </c>
      <c r="T615" s="128" t="str">
        <f>IF(VEND[[#This Row],[STATUS]]="O.C","APROBADO",IF(VEND[[#This Row],[STATUS]]="PERDIDO","PERDIDO",IF(VEND[[#This Row],[STATUS]]="EN ESPERA","EN ESPERA")))</f>
        <v>PERDIDO</v>
      </c>
      <c r="U615" s="112" t="s">
        <v>23</v>
      </c>
      <c r="V615" s="112" t="s">
        <v>23</v>
      </c>
      <c r="W615" s="112" t="s">
        <v>1402</v>
      </c>
      <c r="X615" s="128"/>
    </row>
    <row r="616" spans="2:24" ht="15.75" x14ac:dyDescent="0.25">
      <c r="B616" s="126">
        <v>44355</v>
      </c>
      <c r="C616" s="188" t="str">
        <f>TEXT(VEND[[#This Row],[Fecha de Envío
Cotización]],"mmmm")</f>
        <v>junio</v>
      </c>
      <c r="D616" s="66" t="s">
        <v>50</v>
      </c>
      <c r="E616" s="190" t="s">
        <v>88</v>
      </c>
      <c r="F616" s="125" t="str">
        <f>IF(VEND[[#This Row],[STATUS]]="PERDIDO","N/A","En espera")</f>
        <v>En espera</v>
      </c>
      <c r="G616" s="127" t="str">
        <f>TEXT(VEND[[#This Row],[Fecha Recibe
O.C]],"mmmm")</f>
        <v>En espera</v>
      </c>
      <c r="H616" s="128">
        <v>734</v>
      </c>
      <c r="I616" s="112" t="s">
        <v>1109</v>
      </c>
      <c r="J616" s="128"/>
      <c r="K616" s="129">
        <v>3</v>
      </c>
      <c r="L616" s="189">
        <v>1825.92</v>
      </c>
      <c r="M616" s="112" t="s">
        <v>16</v>
      </c>
      <c r="N616" s="112">
        <v>21</v>
      </c>
      <c r="O616" s="212" t="str">
        <f>IF(VEND[[#This Row],[STATUS]]="O.C",(VEND[[#This Row],[Fecha Recibe
O.C]]+VEND[[#This Row],[Dias
entrega ]]),"")</f>
        <v/>
      </c>
      <c r="P616" s="216"/>
      <c r="Q616" s="129" t="str">
        <f>IFERROR(VEND[[#This Row],[Fecha de Despacho]]-VEND[[#This Row],[Fecha Estimada de Entrega a  Cliente]],"")</f>
        <v/>
      </c>
      <c r="R616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6" s="128" t="str">
        <f>IF(VEND[[#This Row],[STATUS]]="O.C","APROBADO",IF(VEND[[#This Row],[STATUS]]="PERDIDO","PERDIDO",IF(VEND[[#This Row],[STATUS]]="EN ESPERA","EN ESPERA")))</f>
        <v>EN ESPERA</v>
      </c>
      <c r="T616" s="128" t="str">
        <f>IF(VEND[[#This Row],[STATUS]]="O.C","APROBADO",IF(VEND[[#This Row],[STATUS]]="PERDIDO","PERDIDO",IF(VEND[[#This Row],[STATUS]]="EN ESPERA","EN ESPERA")))</f>
        <v>EN ESPERA</v>
      </c>
      <c r="U616" s="112" t="s">
        <v>23</v>
      </c>
      <c r="V616" s="112" t="s">
        <v>23</v>
      </c>
      <c r="W616" s="112" t="s">
        <v>1401</v>
      </c>
      <c r="X616" s="128"/>
    </row>
    <row r="617" spans="2:24" ht="15.75" x14ac:dyDescent="0.25">
      <c r="B617" s="126">
        <v>44355</v>
      </c>
      <c r="C617" s="188" t="str">
        <f>TEXT(VEND[[#This Row],[Fecha de Envío
Cotización]],"mmmm")</f>
        <v>junio</v>
      </c>
      <c r="D617" s="66" t="s">
        <v>945</v>
      </c>
      <c r="E617" s="190" t="s">
        <v>88</v>
      </c>
      <c r="F617" s="125" t="str">
        <f>IF(VEND[[#This Row],[STATUS]]="PERDIDO","N/A","En espera")</f>
        <v>En espera</v>
      </c>
      <c r="G617" s="127" t="str">
        <f>TEXT(VEND[[#This Row],[Fecha Recibe
O.C]],"mmmm")</f>
        <v>En espera</v>
      </c>
      <c r="H617" s="128">
        <v>740</v>
      </c>
      <c r="I617" s="112" t="s">
        <v>1259</v>
      </c>
      <c r="J617" s="128"/>
      <c r="K617" s="129">
        <v>1</v>
      </c>
      <c r="L617" s="189">
        <v>2754</v>
      </c>
      <c r="M617" s="112" t="s">
        <v>119</v>
      </c>
      <c r="N617" s="112">
        <v>0</v>
      </c>
      <c r="O617" s="212" t="str">
        <f>IF(VEND[[#This Row],[STATUS]]="O.C",(VEND[[#This Row],[Fecha Recibe
O.C]]+VEND[[#This Row],[Dias
entrega ]]),"")</f>
        <v/>
      </c>
      <c r="P617" s="216"/>
      <c r="Q617" s="129" t="str">
        <f>IFERROR(VEND[[#This Row],[Fecha de Despacho]]-VEND[[#This Row],[Fecha Estimada de Entrega a  Cliente]],"")</f>
        <v/>
      </c>
      <c r="R61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7" s="128" t="str">
        <f>IF(VEND[[#This Row],[STATUS]]="O.C","APROBADO",IF(VEND[[#This Row],[STATUS]]="PERDIDO","PERDIDO",IF(VEND[[#This Row],[STATUS]]="EN ESPERA","EN ESPERA")))</f>
        <v>EN ESPERA</v>
      </c>
      <c r="T617" s="128" t="str">
        <f>IF(VEND[[#This Row],[STATUS]]="O.C","APROBADO",IF(VEND[[#This Row],[STATUS]]="PERDIDO","PERDIDO",IF(VEND[[#This Row],[STATUS]]="EN ESPERA","EN ESPERA")))</f>
        <v>EN ESPERA</v>
      </c>
      <c r="U617" s="112" t="s">
        <v>23</v>
      </c>
      <c r="V617" s="112" t="s">
        <v>23</v>
      </c>
      <c r="W617" s="112" t="s">
        <v>1406</v>
      </c>
      <c r="X617" s="128"/>
    </row>
    <row r="618" spans="2:24" ht="15.75" x14ac:dyDescent="0.25">
      <c r="B618" s="126">
        <v>44355</v>
      </c>
      <c r="C618" s="188" t="str">
        <f>TEXT(VEND[[#This Row],[Fecha de Envío
Cotización]],"mmmm")</f>
        <v>junio</v>
      </c>
      <c r="D618" s="66" t="s">
        <v>50</v>
      </c>
      <c r="E618" s="190" t="s">
        <v>88</v>
      </c>
      <c r="F618" s="125" t="str">
        <f>IF(VEND[[#This Row],[STATUS]]="PERDIDO","N/A","En espera")</f>
        <v>En espera</v>
      </c>
      <c r="G618" s="127" t="str">
        <f>TEXT(VEND[[#This Row],[Fecha Recibe
O.C]],"mmmm")</f>
        <v>En espera</v>
      </c>
      <c r="H618" s="128">
        <v>765</v>
      </c>
      <c r="I618" s="112" t="s">
        <v>1109</v>
      </c>
      <c r="J618" s="128"/>
      <c r="K618" s="129">
        <v>3</v>
      </c>
      <c r="L618" s="189">
        <v>1926.78</v>
      </c>
      <c r="M618" s="112" t="s">
        <v>16</v>
      </c>
      <c r="N618" s="112">
        <v>21</v>
      </c>
      <c r="O618" s="212" t="str">
        <f>IF(VEND[[#This Row],[STATUS]]="O.C",(VEND[[#This Row],[Fecha Recibe
O.C]]+VEND[[#This Row],[Dias
entrega ]]),"")</f>
        <v/>
      </c>
      <c r="P618" s="216"/>
      <c r="Q618" s="129" t="str">
        <f>IFERROR(VEND[[#This Row],[Fecha de Despacho]]-VEND[[#This Row],[Fecha Estimada de Entrega a  Cliente]],"")</f>
        <v/>
      </c>
      <c r="R618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8" s="128" t="str">
        <f>IF(VEND[[#This Row],[STATUS]]="O.C","APROBADO",IF(VEND[[#This Row],[STATUS]]="PERDIDO","PERDIDO",IF(VEND[[#This Row],[STATUS]]="EN ESPERA","EN ESPERA")))</f>
        <v>EN ESPERA</v>
      </c>
      <c r="T618" s="128" t="str">
        <f>IF(VEND[[#This Row],[STATUS]]="O.C","APROBADO",IF(VEND[[#This Row],[STATUS]]="PERDIDO","PERDIDO",IF(VEND[[#This Row],[STATUS]]="EN ESPERA","EN ESPERA")))</f>
        <v>EN ESPERA</v>
      </c>
      <c r="U618" s="112" t="s">
        <v>23</v>
      </c>
      <c r="V618" s="112" t="s">
        <v>23</v>
      </c>
      <c r="W618" s="112" t="s">
        <v>1401</v>
      </c>
      <c r="X618" s="112" t="s">
        <v>2052</v>
      </c>
    </row>
    <row r="619" spans="2:24" ht="15.75" x14ac:dyDescent="0.25">
      <c r="B619" s="71">
        <v>44355</v>
      </c>
      <c r="C619" s="195" t="str">
        <f>TEXT(VEND[[#This Row],[Fecha de Envío
Cotización]],"mmmm")</f>
        <v>junio</v>
      </c>
      <c r="D619" s="66" t="s">
        <v>1163</v>
      </c>
      <c r="E619" s="190" t="s">
        <v>88</v>
      </c>
      <c r="F619" s="125" t="str">
        <f>IF(VEND[[#This Row],[STATUS]]="PERDIDO","N/A","En espera")</f>
        <v>En espera</v>
      </c>
      <c r="G619" s="93" t="str">
        <f>TEXT(VEND[[#This Row],[Fecha Recibe
O.C]],"mmmm")</f>
        <v>En espera</v>
      </c>
      <c r="H619" s="112">
        <v>4618</v>
      </c>
      <c r="I619" s="37" t="s">
        <v>1241</v>
      </c>
      <c r="J619" s="112"/>
      <c r="K619" s="58">
        <v>1</v>
      </c>
      <c r="L619" s="123">
        <v>2394.08</v>
      </c>
      <c r="M619" s="112"/>
      <c r="N619" s="112"/>
      <c r="O619" s="212" t="str">
        <f>IF(VEND[[#This Row],[STATUS]]="O.C",(VEND[[#This Row],[Fecha Recibe
O.C]]+VEND[[#This Row],[Dias
entrega ]]),"")</f>
        <v/>
      </c>
      <c r="P619" s="212"/>
      <c r="Q619" s="58" t="str">
        <f>IFERROR(VEND[[#This Row],[Fecha de Despacho]]-VEND[[#This Row],[Fecha Estimada de Entrega a  Cliente]],"")</f>
        <v/>
      </c>
      <c r="R619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19" s="112" t="str">
        <f>IF(VEND[[#This Row],[STATUS]]="O.C","APROBADO",IF(VEND[[#This Row],[STATUS]]="PERDIDO","PERDIDO",IF(VEND[[#This Row],[STATUS]]="EN ESPERA","EN ESPERA")))</f>
        <v>EN ESPERA</v>
      </c>
      <c r="T619" s="112" t="str">
        <f>IF(VEND[[#This Row],[STATUS]]="O.C","APROBADO",IF(VEND[[#This Row],[STATUS]]="PERDIDO","PERDIDO",IF(VEND[[#This Row],[STATUS]]="EN ESPERA","EN ESPERA")))</f>
        <v>EN ESPERA</v>
      </c>
      <c r="U619" s="112" t="s">
        <v>46</v>
      </c>
      <c r="V619" s="112" t="s">
        <v>46</v>
      </c>
      <c r="W619" s="112" t="s">
        <v>1409</v>
      </c>
      <c r="X619" s="112"/>
    </row>
    <row r="620" spans="2:24" ht="15.75" x14ac:dyDescent="0.25">
      <c r="B620" s="71">
        <v>44355</v>
      </c>
      <c r="C620" s="195" t="str">
        <f>TEXT(VEND[[#This Row],[Fecha de Envío
Cotización]],"mmmm")</f>
        <v>junio</v>
      </c>
      <c r="D620" s="66" t="s">
        <v>1163</v>
      </c>
      <c r="E620" s="190" t="s">
        <v>88</v>
      </c>
      <c r="F620" s="125" t="str">
        <f>IF(VEND[[#This Row],[STATUS]]="PERDIDO","N/A","En espera")</f>
        <v>En espera</v>
      </c>
      <c r="G620" s="93" t="str">
        <f>TEXT(VEND[[#This Row],[Fecha Recibe
O.C]],"mmmm")</f>
        <v>En espera</v>
      </c>
      <c r="H620" s="112">
        <v>4621</v>
      </c>
      <c r="I620" s="37" t="s">
        <v>1241</v>
      </c>
      <c r="J620" s="112"/>
      <c r="K620" s="58">
        <v>1</v>
      </c>
      <c r="L620" s="123">
        <v>4133.1099999999997</v>
      </c>
      <c r="M620" s="112"/>
      <c r="N620" s="112"/>
      <c r="O620" s="212" t="str">
        <f>IF(VEND[[#This Row],[STATUS]]="O.C",(VEND[[#This Row],[Fecha Recibe
O.C]]+VEND[[#This Row],[Dias
entrega ]]),"")</f>
        <v/>
      </c>
      <c r="P620" s="212"/>
      <c r="Q620" s="58" t="str">
        <f>IFERROR(VEND[[#This Row],[Fecha de Despacho]]-VEND[[#This Row],[Fecha Estimada de Entrega a  Cliente]],"")</f>
        <v/>
      </c>
      <c r="R620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0" s="112" t="str">
        <f>IF(VEND[[#This Row],[STATUS]]="O.C","APROBADO",IF(VEND[[#This Row],[STATUS]]="PERDIDO","PERDIDO",IF(VEND[[#This Row],[STATUS]]="EN ESPERA","EN ESPERA")))</f>
        <v>EN ESPERA</v>
      </c>
      <c r="T620" s="112" t="str">
        <f>IF(VEND[[#This Row],[STATUS]]="O.C","APROBADO",IF(VEND[[#This Row],[STATUS]]="PERDIDO","PERDIDO",IF(VEND[[#This Row],[STATUS]]="EN ESPERA","EN ESPERA")))</f>
        <v>EN ESPERA</v>
      </c>
      <c r="U620" s="112" t="s">
        <v>46</v>
      </c>
      <c r="V620" s="112" t="s">
        <v>46</v>
      </c>
      <c r="W620" s="112" t="s">
        <v>1409</v>
      </c>
      <c r="X620" s="112"/>
    </row>
    <row r="621" spans="2:24" ht="15.75" x14ac:dyDescent="0.25">
      <c r="B621" s="126">
        <v>44356</v>
      </c>
      <c r="C621" s="188" t="str">
        <f>TEXT(VEND[[#This Row],[Fecha de Envío
Cotización]],"mmmm")</f>
        <v>junio</v>
      </c>
      <c r="D621" s="66" t="s">
        <v>50</v>
      </c>
      <c r="E621" s="190" t="s">
        <v>83</v>
      </c>
      <c r="F621" s="125">
        <v>44356</v>
      </c>
      <c r="G621" s="127" t="str">
        <f>TEXT(VEND[[#This Row],[Fecha Recibe
O.C]],"mmmm")</f>
        <v>junio</v>
      </c>
      <c r="H621" s="128">
        <v>742</v>
      </c>
      <c r="I621" s="112" t="s">
        <v>283</v>
      </c>
      <c r="J621" s="128"/>
      <c r="K621" s="129">
        <v>1</v>
      </c>
      <c r="L621" s="189">
        <v>3916</v>
      </c>
      <c r="M621" s="112" t="s">
        <v>119</v>
      </c>
      <c r="N621" s="112">
        <v>2</v>
      </c>
      <c r="O621" s="212">
        <f>IF(VEND[[#This Row],[STATUS]]="O.C",(VEND[[#This Row],[Fecha Recibe
O.C]]+VEND[[#This Row],[Dias
entrega ]]),"")</f>
        <v>44358</v>
      </c>
      <c r="P621" s="216">
        <v>44357</v>
      </c>
      <c r="Q621" s="129">
        <f>IFERROR(VEND[[#This Row],[Fecha de Despacho]]-VEND[[#This Row],[Fecha Estimada de Entrega a  Cliente]],"")</f>
        <v>-1</v>
      </c>
      <c r="R62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1" s="128" t="str">
        <f>IF(VEND[[#This Row],[STATUS]]="O.C","APROBADO",IF(VEND[[#This Row],[STATUS]]="PERDIDO","PERDIDO",IF(VEND[[#This Row],[STATUS]]="EN ESPERA","EN ESPERA")))</f>
        <v>APROBADO</v>
      </c>
      <c r="T621" s="128" t="str">
        <f>IF(VEND[[#This Row],[STATUS]]="O.C","APROBADO",IF(VEND[[#This Row],[STATUS]]="PERDIDO","PERDIDO",IF(VEND[[#This Row],[STATUS]]="EN ESPERA","EN ESPERA")))</f>
        <v>APROBADO</v>
      </c>
      <c r="U621" s="112" t="s">
        <v>45</v>
      </c>
      <c r="V621" s="112" t="s">
        <v>46</v>
      </c>
      <c r="W621" s="112" t="s">
        <v>1404</v>
      </c>
      <c r="X621" s="128">
        <v>5500025814</v>
      </c>
    </row>
    <row r="622" spans="2:24" ht="15.75" x14ac:dyDescent="0.25">
      <c r="B622" s="126">
        <v>44356</v>
      </c>
      <c r="C622" s="188" t="str">
        <f>TEXT(VEND[[#This Row],[Fecha de Envío
Cotización]],"mmmm")</f>
        <v>junio</v>
      </c>
      <c r="D622" s="66" t="s">
        <v>945</v>
      </c>
      <c r="E622" s="190" t="s">
        <v>88</v>
      </c>
      <c r="F622" s="125" t="str">
        <f>IF(VEND[[#This Row],[STATUS]]="PERDIDO","N/A","En espera")</f>
        <v>En espera</v>
      </c>
      <c r="G622" s="127" t="str">
        <f>TEXT(VEND[[#This Row],[Fecha Recibe
O.C]],"mmmm")</f>
        <v>En espera</v>
      </c>
      <c r="H622" s="128">
        <v>744</v>
      </c>
      <c r="I622" s="112" t="s">
        <v>31</v>
      </c>
      <c r="J622" s="128"/>
      <c r="K622" s="129">
        <v>1</v>
      </c>
      <c r="L622" s="189">
        <v>2091.6</v>
      </c>
      <c r="M622" s="112" t="s">
        <v>62</v>
      </c>
      <c r="N622" s="112">
        <v>3</v>
      </c>
      <c r="O622" s="212" t="str">
        <f>IF(VEND[[#This Row],[STATUS]]="O.C",(VEND[[#This Row],[Fecha Recibe
O.C]]+VEND[[#This Row],[Dias
entrega ]]),"")</f>
        <v/>
      </c>
      <c r="P622" s="216"/>
      <c r="Q622" s="129" t="str">
        <f>IFERROR(VEND[[#This Row],[Fecha de Despacho]]-VEND[[#This Row],[Fecha Estimada de Entrega a  Cliente]],"")</f>
        <v/>
      </c>
      <c r="R62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2" s="128" t="str">
        <f>IF(VEND[[#This Row],[STATUS]]="O.C","APROBADO",IF(VEND[[#This Row],[STATUS]]="PERDIDO","PERDIDO",IF(VEND[[#This Row],[STATUS]]="EN ESPERA","EN ESPERA")))</f>
        <v>EN ESPERA</v>
      </c>
      <c r="T622" s="128" t="str">
        <f>IF(VEND[[#This Row],[STATUS]]="O.C","APROBADO",IF(VEND[[#This Row],[STATUS]]="PERDIDO","PERDIDO",IF(VEND[[#This Row],[STATUS]]="EN ESPERA","EN ESPERA")))</f>
        <v>EN ESPERA</v>
      </c>
      <c r="U622" s="112" t="s">
        <v>23</v>
      </c>
      <c r="V622" s="112" t="s">
        <v>23</v>
      </c>
      <c r="W622" s="112" t="s">
        <v>1410</v>
      </c>
      <c r="X622" s="128"/>
    </row>
    <row r="623" spans="2:24" ht="15.75" x14ac:dyDescent="0.25">
      <c r="B623" s="232">
        <v>44356</v>
      </c>
      <c r="C623" s="195" t="str">
        <f>TEXT(VEND[[#This Row],[Fecha de Envío
Cotización]],"mmmm")</f>
        <v>junio</v>
      </c>
      <c r="D623" s="66" t="s">
        <v>1163</v>
      </c>
      <c r="E623" s="190" t="s">
        <v>83</v>
      </c>
      <c r="F623" s="125">
        <v>44364</v>
      </c>
      <c r="G623" s="93" t="str">
        <f>TEXT(VEND[[#This Row],[Fecha Recibe
O.C]],"mmmm")</f>
        <v>junio</v>
      </c>
      <c r="H623" s="112">
        <v>747</v>
      </c>
      <c r="I623" s="37" t="s">
        <v>1241</v>
      </c>
      <c r="J623" s="112"/>
      <c r="K623" s="58">
        <v>1</v>
      </c>
      <c r="L623" s="123">
        <v>3200</v>
      </c>
      <c r="M623" s="112" t="s">
        <v>16</v>
      </c>
      <c r="N623" s="112">
        <v>21</v>
      </c>
      <c r="O623" s="212">
        <f>IF(VEND[[#This Row],[STATUS]]="O.C",(VEND[[#This Row],[Fecha Recibe
O.C]]+VEND[[#This Row],[Dias
entrega ]]),"")</f>
        <v>44385</v>
      </c>
      <c r="P623" s="212"/>
      <c r="Q623" s="58">
        <f>IFERROR(VEND[[#This Row],[Fecha de Despacho]]-VEND[[#This Row],[Fecha Estimada de Entrega a  Cliente]],"")</f>
        <v>-44385</v>
      </c>
      <c r="R62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3" s="112" t="str">
        <f>IF(VEND[[#This Row],[STATUS]]="O.C","APROBADO",IF(VEND[[#This Row],[STATUS]]="PERDIDO","PERDIDO",IF(VEND[[#This Row],[STATUS]]="EN ESPERA","EN ESPERA")))</f>
        <v>APROBADO</v>
      </c>
      <c r="T623" s="112" t="str">
        <f>IF(VEND[[#This Row],[STATUS]]="O.C","APROBADO",IF(VEND[[#This Row],[STATUS]]="PERDIDO","PERDIDO",IF(VEND[[#This Row],[STATUS]]="EN ESPERA","EN ESPERA")))</f>
        <v>APROBADO</v>
      </c>
      <c r="U623" s="112" t="s">
        <v>46</v>
      </c>
      <c r="V623" s="112" t="s">
        <v>46</v>
      </c>
      <c r="W623" s="112" t="s">
        <v>1409</v>
      </c>
      <c r="X623" s="112" t="s">
        <v>2247</v>
      </c>
    </row>
    <row r="624" spans="2:24" ht="15.75" x14ac:dyDescent="0.25">
      <c r="B624" s="71">
        <v>44356</v>
      </c>
      <c r="C624" s="195" t="str">
        <f>TEXT(VEND[[#This Row],[Fecha de Envío
Cotización]],"mmmm")</f>
        <v>junio</v>
      </c>
      <c r="D624" s="66" t="s">
        <v>945</v>
      </c>
      <c r="E624" s="190" t="s">
        <v>88</v>
      </c>
      <c r="F624" s="125" t="str">
        <f>IF(VEND[[#This Row],[STATUS]]="PERDIDO","N/A","En espera")</f>
        <v>En espera</v>
      </c>
      <c r="G624" s="93" t="str">
        <f>TEXT(VEND[[#This Row],[Fecha Recibe
O.C]],"mmmm")</f>
        <v>En espera</v>
      </c>
      <c r="H624" s="112">
        <v>748</v>
      </c>
      <c r="I624" s="112" t="s">
        <v>74</v>
      </c>
      <c r="J624" s="112"/>
      <c r="K624" s="58">
        <v>1</v>
      </c>
      <c r="L624" s="123">
        <v>1277.76</v>
      </c>
      <c r="M624" s="112" t="s">
        <v>926</v>
      </c>
      <c r="N624" s="112">
        <v>42</v>
      </c>
      <c r="O624" s="212" t="str">
        <f>IF(VEND[[#This Row],[STATUS]]="O.C",(VEND[[#This Row],[Fecha Recibe
O.C]]+VEND[[#This Row],[Dias
entrega ]]),"")</f>
        <v/>
      </c>
      <c r="P624" s="212"/>
      <c r="Q624" s="58" t="str">
        <f>IFERROR(VEND[[#This Row],[Fecha de Despacho]]-VEND[[#This Row],[Fecha Estimada de Entrega a  Cliente]],"")</f>
        <v/>
      </c>
      <c r="R62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4" s="112" t="str">
        <f>IF(VEND[[#This Row],[STATUS]]="O.C","APROBADO",IF(VEND[[#This Row],[STATUS]]="PERDIDO","PERDIDO",IF(VEND[[#This Row],[STATUS]]="EN ESPERA","EN ESPERA")))</f>
        <v>EN ESPERA</v>
      </c>
      <c r="T624" s="112" t="str">
        <f>IF(VEND[[#This Row],[STATUS]]="O.C","APROBADO",IF(VEND[[#This Row],[STATUS]]="PERDIDO","PERDIDO",IF(VEND[[#This Row],[STATUS]]="EN ESPERA","EN ESPERA")))</f>
        <v>EN ESPERA</v>
      </c>
      <c r="U624" s="112" t="s">
        <v>23</v>
      </c>
      <c r="V624" s="112" t="s">
        <v>23</v>
      </c>
      <c r="W624" s="112" t="s">
        <v>2008</v>
      </c>
      <c r="X624" s="112"/>
    </row>
    <row r="625" spans="2:24" ht="15.75" x14ac:dyDescent="0.25">
      <c r="B625" s="71">
        <v>44356</v>
      </c>
      <c r="C625" s="195" t="str">
        <f>TEXT(VEND[[#This Row],[Fecha de Envío
Cotización]],"mmmm")</f>
        <v>junio</v>
      </c>
      <c r="D625" s="66" t="s">
        <v>50</v>
      </c>
      <c r="E625" s="190" t="s">
        <v>88</v>
      </c>
      <c r="F625" s="125" t="str">
        <f>IF(VEND[[#This Row],[STATUS]]="PERDIDO","N/A","En espera")</f>
        <v>En espera</v>
      </c>
      <c r="G625" s="93" t="str">
        <f>TEXT(VEND[[#This Row],[Fecha Recibe
O.C]],"mmmm")</f>
        <v>En espera</v>
      </c>
      <c r="H625" s="112">
        <v>749</v>
      </c>
      <c r="I625" s="112" t="s">
        <v>33</v>
      </c>
      <c r="J625" s="112"/>
      <c r="K625" s="58">
        <v>1</v>
      </c>
      <c r="L625" s="123">
        <v>4630.5</v>
      </c>
      <c r="M625" s="112" t="s">
        <v>16</v>
      </c>
      <c r="N625" s="112">
        <v>21</v>
      </c>
      <c r="O625" s="212" t="str">
        <f>IF(VEND[[#This Row],[STATUS]]="O.C",(VEND[[#This Row],[Fecha Recibe
O.C]]+VEND[[#This Row],[Dias
entrega ]]),"")</f>
        <v/>
      </c>
      <c r="P625" s="212"/>
      <c r="Q625" s="58" t="str">
        <f>IFERROR(VEND[[#This Row],[Fecha de Despacho]]-VEND[[#This Row],[Fecha Estimada de Entrega a  Cliente]],"")</f>
        <v/>
      </c>
      <c r="R625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5" s="112" t="str">
        <f>IF(VEND[[#This Row],[STATUS]]="O.C","APROBADO",IF(VEND[[#This Row],[STATUS]]="PERDIDO","PERDIDO",IF(VEND[[#This Row],[STATUS]]="EN ESPERA","EN ESPERA")))</f>
        <v>EN ESPERA</v>
      </c>
      <c r="T625" s="112" t="str">
        <f>IF(VEND[[#This Row],[STATUS]]="O.C","APROBADO",IF(VEND[[#This Row],[STATUS]]="PERDIDO","PERDIDO",IF(VEND[[#This Row],[STATUS]]="EN ESPERA","EN ESPERA")))</f>
        <v>EN ESPERA</v>
      </c>
      <c r="U625" s="112" t="s">
        <v>46</v>
      </c>
      <c r="V625" s="112" t="s">
        <v>46</v>
      </c>
      <c r="W625" s="112" t="s">
        <v>1402</v>
      </c>
      <c r="X625" s="112"/>
    </row>
    <row r="626" spans="2:24" ht="15.75" x14ac:dyDescent="0.25">
      <c r="B626" s="71">
        <v>44356</v>
      </c>
      <c r="C626" s="195" t="str">
        <f>TEXT(VEND[[#This Row],[Fecha de Envío
Cotización]],"mmmm")</f>
        <v>junio</v>
      </c>
      <c r="D626" s="66" t="s">
        <v>41</v>
      </c>
      <c r="E626" s="190" t="s">
        <v>88</v>
      </c>
      <c r="F626" s="125" t="str">
        <f>IF(VEND[[#This Row],[STATUS]]="PERDIDO","N/A","En espera")</f>
        <v>En espera</v>
      </c>
      <c r="G626" s="93" t="str">
        <f>TEXT(VEND[[#This Row],[Fecha Recibe
O.C]],"mmmm")</f>
        <v>En espera</v>
      </c>
      <c r="H626" s="112">
        <v>750</v>
      </c>
      <c r="I626" s="112" t="s">
        <v>76</v>
      </c>
      <c r="J626" s="112"/>
      <c r="K626" s="58">
        <v>1</v>
      </c>
      <c r="L626" s="123">
        <v>874.43</v>
      </c>
      <c r="M626" s="112" t="s">
        <v>73</v>
      </c>
      <c r="N626" s="112">
        <v>14</v>
      </c>
      <c r="O626" s="212" t="str">
        <f>IF(VEND[[#This Row],[STATUS]]="O.C",(VEND[[#This Row],[Fecha Recibe
O.C]]+VEND[[#This Row],[Dias
entrega ]]),"")</f>
        <v/>
      </c>
      <c r="P626" s="212"/>
      <c r="Q626" s="58" t="str">
        <f>IFERROR(VEND[[#This Row],[Fecha de Despacho]]-VEND[[#This Row],[Fecha Estimada de Entrega a  Cliente]],"")</f>
        <v/>
      </c>
      <c r="R626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6" s="112" t="str">
        <f>IF(VEND[[#This Row],[STATUS]]="O.C","APROBADO",IF(VEND[[#This Row],[STATUS]]="PERDIDO","PERDIDO",IF(VEND[[#This Row],[STATUS]]="EN ESPERA","EN ESPERA")))</f>
        <v>EN ESPERA</v>
      </c>
      <c r="T626" s="112" t="str">
        <f>IF(VEND[[#This Row],[STATUS]]="O.C","APROBADO",IF(VEND[[#This Row],[STATUS]]="PERDIDO","PERDIDO",IF(VEND[[#This Row],[STATUS]]="EN ESPERA","EN ESPERA")))</f>
        <v>EN ESPERA</v>
      </c>
      <c r="U626" s="112" t="s">
        <v>46</v>
      </c>
      <c r="V626" s="112" t="s">
        <v>46</v>
      </c>
      <c r="W626" s="112" t="s">
        <v>1402</v>
      </c>
      <c r="X626" s="112"/>
    </row>
    <row r="627" spans="2:24" ht="15.75" x14ac:dyDescent="0.25">
      <c r="B627" s="71">
        <v>44356</v>
      </c>
      <c r="C627" s="195" t="str">
        <f>TEXT(VEND[[#This Row],[Fecha de Envío
Cotización]],"mmmm")</f>
        <v>junio</v>
      </c>
      <c r="D627" s="66" t="s">
        <v>68</v>
      </c>
      <c r="E627" s="190" t="s">
        <v>88</v>
      </c>
      <c r="F627" s="125" t="str">
        <f>IF(VEND[[#This Row],[STATUS]]="PERDIDO","N/A","En espera")</f>
        <v>En espera</v>
      </c>
      <c r="G627" s="93" t="str">
        <f>TEXT(VEND[[#This Row],[Fecha Recibe
O.C]],"mmmm")</f>
        <v>En espera</v>
      </c>
      <c r="H627" s="112">
        <v>751</v>
      </c>
      <c r="I627" s="112" t="s">
        <v>122</v>
      </c>
      <c r="J627" s="112"/>
      <c r="K627" s="58">
        <v>1</v>
      </c>
      <c r="L627" s="123">
        <v>17100</v>
      </c>
      <c r="M627" s="112" t="s">
        <v>22</v>
      </c>
      <c r="N627" s="112">
        <v>0</v>
      </c>
      <c r="O627" s="212" t="str">
        <f>IF(VEND[[#This Row],[STATUS]]="O.C",(VEND[[#This Row],[Fecha Recibe
O.C]]+VEND[[#This Row],[Dias
entrega ]]),"")</f>
        <v/>
      </c>
      <c r="P627" s="212"/>
      <c r="Q627" s="58" t="str">
        <f>IFERROR(VEND[[#This Row],[Fecha de Despacho]]-VEND[[#This Row],[Fecha Estimada de Entrega a  Cliente]],"")</f>
        <v/>
      </c>
      <c r="R627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7" s="112" t="str">
        <f>IF(VEND[[#This Row],[STATUS]]="O.C","APROBADO",IF(VEND[[#This Row],[STATUS]]="PERDIDO","PERDIDO",IF(VEND[[#This Row],[STATUS]]="EN ESPERA","EN ESPERA")))</f>
        <v>EN ESPERA</v>
      </c>
      <c r="T627" s="112" t="str">
        <f>IF(VEND[[#This Row],[STATUS]]="O.C","APROBADO",IF(VEND[[#This Row],[STATUS]]="PERDIDO","PERDIDO",IF(VEND[[#This Row],[STATUS]]="EN ESPERA","EN ESPERA")))</f>
        <v>EN ESPERA</v>
      </c>
      <c r="U627" s="112" t="s">
        <v>46</v>
      </c>
      <c r="V627" s="112" t="s">
        <v>46</v>
      </c>
      <c r="W627" s="112" t="s">
        <v>1402</v>
      </c>
      <c r="X627" s="112"/>
    </row>
    <row r="628" spans="2:24" ht="15.75" x14ac:dyDescent="0.25">
      <c r="B628" s="126">
        <v>44356</v>
      </c>
      <c r="C628" s="188" t="str">
        <f>TEXT(VEND[[#This Row],[Fecha de Envío
Cotización]],"mmmm")</f>
        <v>junio</v>
      </c>
      <c r="D628" s="66" t="s">
        <v>41</v>
      </c>
      <c r="E628" s="190" t="s">
        <v>88</v>
      </c>
      <c r="F628" s="125" t="str">
        <f>IF(VEND[[#This Row],[STATUS]]="PERDIDO","N/A","En espera")</f>
        <v>En espera</v>
      </c>
      <c r="G628" s="127" t="str">
        <f>TEXT(VEND[[#This Row],[Fecha Recibe
O.C]],"mmmm")</f>
        <v>En espera</v>
      </c>
      <c r="H628" s="128">
        <v>752</v>
      </c>
      <c r="I628" s="112" t="s">
        <v>76</v>
      </c>
      <c r="J628" s="128"/>
      <c r="K628" s="129">
        <v>2</v>
      </c>
      <c r="L628" s="189">
        <v>428.4</v>
      </c>
      <c r="M628" s="112" t="s">
        <v>73</v>
      </c>
      <c r="N628" s="112">
        <v>14</v>
      </c>
      <c r="O628" s="212" t="str">
        <f>IF(VEND[[#This Row],[STATUS]]="O.C",(VEND[[#This Row],[Fecha Recibe
O.C]]+VEND[[#This Row],[Dias
entrega ]]),"")</f>
        <v/>
      </c>
      <c r="P628" s="216"/>
      <c r="Q628" s="129" t="str">
        <f>IFERROR(VEND[[#This Row],[Fecha de Despacho]]-VEND[[#This Row],[Fecha Estimada de Entrega a  Cliente]],"")</f>
        <v/>
      </c>
      <c r="R62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8" s="128" t="str">
        <f>IF(VEND[[#This Row],[STATUS]]="O.C","APROBADO",IF(VEND[[#This Row],[STATUS]]="PERDIDO","PERDIDO",IF(VEND[[#This Row],[STATUS]]="EN ESPERA","EN ESPERA")))</f>
        <v>EN ESPERA</v>
      </c>
      <c r="T628" s="128" t="str">
        <f>IF(VEND[[#This Row],[STATUS]]="O.C","APROBADO",IF(VEND[[#This Row],[STATUS]]="PERDIDO","PERDIDO",IF(VEND[[#This Row],[STATUS]]="EN ESPERA","EN ESPERA")))</f>
        <v>EN ESPERA</v>
      </c>
      <c r="U628" s="112" t="s">
        <v>46</v>
      </c>
      <c r="V628" s="112" t="s">
        <v>46</v>
      </c>
      <c r="W628" s="112" t="s">
        <v>1407</v>
      </c>
      <c r="X628" s="128"/>
    </row>
    <row r="629" spans="2:24" s="105" customFormat="1" ht="15.75" x14ac:dyDescent="0.25">
      <c r="B629" s="71">
        <v>44356</v>
      </c>
      <c r="C629" s="71" t="str">
        <f>TEXT(VEND[[#This Row],[Fecha de Envío
Cotización]],"mmmm")</f>
        <v>junio</v>
      </c>
      <c r="D629" s="66" t="s">
        <v>945</v>
      </c>
      <c r="E629" s="125" t="s">
        <v>88</v>
      </c>
      <c r="F629" s="125" t="str">
        <f>IF(VEND[[#This Row],[STATUS]]="PERDIDO","N/A","En espera")</f>
        <v>En espera</v>
      </c>
      <c r="G629" s="125" t="str">
        <f>TEXT(VEND[[#This Row],[Fecha Recibe
O.C]],"mmmm")</f>
        <v>En espera</v>
      </c>
      <c r="H629" s="112">
        <v>823</v>
      </c>
      <c r="I629" s="112" t="s">
        <v>1546</v>
      </c>
      <c r="J629" s="112"/>
      <c r="K629" s="58">
        <v>1</v>
      </c>
      <c r="L629" s="123">
        <v>56500</v>
      </c>
      <c r="M629" s="112" t="s">
        <v>1553</v>
      </c>
      <c r="N629" s="112">
        <v>45</v>
      </c>
      <c r="O629" s="212" t="str">
        <f>IF(VEND[[#This Row],[STATUS]]="O.C",(VEND[[#This Row],[Fecha Recibe
O.C]]+VEND[[#This Row],[Dias
entrega ]]),"")</f>
        <v/>
      </c>
      <c r="P629" s="212"/>
      <c r="Q629" s="58" t="str">
        <f>IFERROR(VEND[[#This Row],[Fecha de Despacho]]-VEND[[#This Row],[Fecha Estimada de Entrega a  Cliente]],"")</f>
        <v/>
      </c>
      <c r="R629" s="112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29" s="112" t="str">
        <f>IF(VEND[[#This Row],[STATUS]]="O.C","APROBADO",IF(VEND[[#This Row],[STATUS]]="PERDIDO","PERDIDO",IF(VEND[[#This Row],[STATUS]]="EN ESPERA","EN ESPERA")))</f>
        <v>EN ESPERA</v>
      </c>
      <c r="T629" s="112" t="str">
        <f>IF(VEND[[#This Row],[STATUS]]="O.C","APROBADO",IF(VEND[[#This Row],[STATUS]]="PERDIDO","PERDIDO",IF(VEND[[#This Row],[STATUS]]="EN ESPERA","EN ESPERA")))</f>
        <v>EN ESPERA</v>
      </c>
      <c r="U629" s="112" t="s">
        <v>46</v>
      </c>
      <c r="V629" s="112" t="s">
        <v>46</v>
      </c>
      <c r="W629" s="112" t="s">
        <v>1402</v>
      </c>
      <c r="X629" s="112" t="s">
        <v>2274</v>
      </c>
    </row>
    <row r="630" spans="2:24" ht="15.75" x14ac:dyDescent="0.25">
      <c r="B630" s="126">
        <v>44357</v>
      </c>
      <c r="C630" s="188" t="str">
        <f>TEXT(VEND[[#This Row],[Fecha de Envío
Cotización]],"mmmm")</f>
        <v>junio</v>
      </c>
      <c r="D630" s="66" t="s">
        <v>945</v>
      </c>
      <c r="E630" s="190" t="s">
        <v>88</v>
      </c>
      <c r="F630" s="125" t="str">
        <f>IF(VEND[[#This Row],[STATUS]]="PERDIDO","N/A","En espera")</f>
        <v>En espera</v>
      </c>
      <c r="G630" s="127" t="str">
        <f>TEXT(VEND[[#This Row],[Fecha Recibe
O.C]],"mmmm")</f>
        <v>En espera</v>
      </c>
      <c r="H630" s="128">
        <v>756</v>
      </c>
      <c r="I630" s="112" t="s">
        <v>31</v>
      </c>
      <c r="J630" s="128"/>
      <c r="K630" s="129">
        <v>4</v>
      </c>
      <c r="L630" s="189">
        <v>819.75</v>
      </c>
      <c r="M630" s="112" t="s">
        <v>22</v>
      </c>
      <c r="N630" s="112">
        <v>0</v>
      </c>
      <c r="O630" s="212" t="str">
        <f>IF(VEND[[#This Row],[STATUS]]="O.C",(VEND[[#This Row],[Fecha Recibe
O.C]]+VEND[[#This Row],[Dias
entrega ]]),"")</f>
        <v/>
      </c>
      <c r="P630" s="216"/>
      <c r="Q630" s="129" t="str">
        <f>IFERROR(VEND[[#This Row],[Fecha de Despacho]]-VEND[[#This Row],[Fecha Estimada de Entrega a  Cliente]],"")</f>
        <v/>
      </c>
      <c r="R63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0" s="128" t="str">
        <f>IF(VEND[[#This Row],[STATUS]]="O.C","APROBADO",IF(VEND[[#This Row],[STATUS]]="PERDIDO","PERDIDO",IF(VEND[[#This Row],[STATUS]]="EN ESPERA","EN ESPERA")))</f>
        <v>EN ESPERA</v>
      </c>
      <c r="T630" s="128" t="str">
        <f>IF(VEND[[#This Row],[STATUS]]="O.C","APROBADO",IF(VEND[[#This Row],[STATUS]]="PERDIDO","PERDIDO",IF(VEND[[#This Row],[STATUS]]="EN ESPERA","EN ESPERA")))</f>
        <v>EN ESPERA</v>
      </c>
      <c r="U630" s="112" t="s">
        <v>46</v>
      </c>
      <c r="V630" s="112" t="s">
        <v>46</v>
      </c>
      <c r="W630" s="112" t="s">
        <v>1405</v>
      </c>
      <c r="X630" s="128"/>
    </row>
    <row r="631" spans="2:24" ht="15.75" x14ac:dyDescent="0.25">
      <c r="B631" s="126">
        <v>44357</v>
      </c>
      <c r="C631" s="188" t="str">
        <f>TEXT(VEND[[#This Row],[Fecha de Envío
Cotización]],"mmmm")</f>
        <v>junio</v>
      </c>
      <c r="D631" s="66" t="s">
        <v>68</v>
      </c>
      <c r="E631" s="190" t="s">
        <v>88</v>
      </c>
      <c r="F631" s="125" t="str">
        <f>IF(VEND[[#This Row],[STATUS]]="PERDIDO","N/A","En espera")</f>
        <v>En espera</v>
      </c>
      <c r="G631" s="127" t="str">
        <f>TEXT(VEND[[#This Row],[Fecha Recibe
O.C]],"mmmm")</f>
        <v>En espera</v>
      </c>
      <c r="H631" s="128">
        <v>757</v>
      </c>
      <c r="I631" s="112" t="s">
        <v>109</v>
      </c>
      <c r="J631" s="128"/>
      <c r="K631" s="129">
        <v>1</v>
      </c>
      <c r="L631" s="189">
        <v>624.08000000000004</v>
      </c>
      <c r="M631" s="112" t="s">
        <v>36</v>
      </c>
      <c r="N631" s="112">
        <v>28</v>
      </c>
      <c r="O631" s="212" t="str">
        <f>IF(VEND[[#This Row],[STATUS]]="O.C",(VEND[[#This Row],[Fecha Recibe
O.C]]+VEND[[#This Row],[Dias
entrega ]]),"")</f>
        <v/>
      </c>
      <c r="P631" s="216"/>
      <c r="Q631" s="129" t="str">
        <f>IFERROR(VEND[[#This Row],[Fecha de Despacho]]-VEND[[#This Row],[Fecha Estimada de Entrega a  Cliente]],"")</f>
        <v/>
      </c>
      <c r="R63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1" s="128" t="str">
        <f>IF(VEND[[#This Row],[STATUS]]="O.C","APROBADO",IF(VEND[[#This Row],[STATUS]]="PERDIDO","PERDIDO",IF(VEND[[#This Row],[STATUS]]="EN ESPERA","EN ESPERA")))</f>
        <v>EN ESPERA</v>
      </c>
      <c r="T631" s="128" t="str">
        <f>IF(VEND[[#This Row],[STATUS]]="O.C","APROBADO",IF(VEND[[#This Row],[STATUS]]="PERDIDO","PERDIDO",IF(VEND[[#This Row],[STATUS]]="EN ESPERA","EN ESPERA")))</f>
        <v>EN ESPERA</v>
      </c>
      <c r="U631" s="112" t="s">
        <v>46</v>
      </c>
      <c r="V631" s="112" t="s">
        <v>46</v>
      </c>
      <c r="W631" s="112" t="s">
        <v>1401</v>
      </c>
      <c r="X631" s="128"/>
    </row>
    <row r="632" spans="2:24" ht="15.75" x14ac:dyDescent="0.25">
      <c r="B632" s="71">
        <v>44357</v>
      </c>
      <c r="C632" s="195" t="str">
        <f>TEXT(VEND[[#This Row],[Fecha de Envío
Cotización]],"mmmm")</f>
        <v>junio</v>
      </c>
      <c r="D632" s="66" t="s">
        <v>50</v>
      </c>
      <c r="E632" s="190" t="s">
        <v>88</v>
      </c>
      <c r="F632" s="125" t="str">
        <f>IF(VEND[[#This Row],[STATUS]]="PERDIDO","N/A","En espera")</f>
        <v>En espera</v>
      </c>
      <c r="G632" s="93" t="str">
        <f>TEXT(VEND[[#This Row],[Fecha Recibe
O.C]],"mmmm")</f>
        <v>En espera</v>
      </c>
      <c r="H632" s="112">
        <v>758</v>
      </c>
      <c r="I632" s="112" t="s">
        <v>933</v>
      </c>
      <c r="J632" s="112"/>
      <c r="K632" s="58">
        <v>12</v>
      </c>
      <c r="L632" s="123">
        <v>16018.38</v>
      </c>
      <c r="M632" s="112" t="s">
        <v>36</v>
      </c>
      <c r="N632" s="112">
        <v>28</v>
      </c>
      <c r="O632" s="212" t="str">
        <f>IF(VEND[[#This Row],[STATUS]]="O.C",(VEND[[#This Row],[Fecha Recibe
O.C]]+VEND[[#This Row],[Dias
entrega ]]),"")</f>
        <v/>
      </c>
      <c r="P632" s="212"/>
      <c r="Q632" s="58" t="str">
        <f>IFERROR(VEND[[#This Row],[Fecha de Despacho]]-VEND[[#This Row],[Fecha Estimada de Entrega a  Cliente]],"")</f>
        <v/>
      </c>
      <c r="R632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2" s="112" t="str">
        <f>IF(VEND[[#This Row],[STATUS]]="O.C","APROBADO",IF(VEND[[#This Row],[STATUS]]="PERDIDO","PERDIDO",IF(VEND[[#This Row],[STATUS]]="EN ESPERA","EN ESPERA")))</f>
        <v>EN ESPERA</v>
      </c>
      <c r="T632" s="112" t="str">
        <f>IF(VEND[[#This Row],[STATUS]]="O.C","APROBADO",IF(VEND[[#This Row],[STATUS]]="PERDIDO","PERDIDO",IF(VEND[[#This Row],[STATUS]]="EN ESPERA","EN ESPERA")))</f>
        <v>EN ESPERA</v>
      </c>
      <c r="U632" s="112" t="s">
        <v>46</v>
      </c>
      <c r="V632" s="112" t="s">
        <v>46</v>
      </c>
      <c r="W632" s="112" t="s">
        <v>1401</v>
      </c>
      <c r="X632" s="112"/>
    </row>
    <row r="633" spans="2:24" ht="15.75" x14ac:dyDescent="0.25">
      <c r="B633" s="71">
        <v>44357</v>
      </c>
      <c r="C633" s="195" t="str">
        <f>TEXT(VEND[[#This Row],[Fecha de Envío
Cotización]],"mmmm")</f>
        <v>junio</v>
      </c>
      <c r="D633" s="66" t="s">
        <v>50</v>
      </c>
      <c r="E633" s="190" t="s">
        <v>88</v>
      </c>
      <c r="F633" s="125" t="str">
        <f>IF(VEND[[#This Row],[STATUS]]="PERDIDO","N/A","En espera")</f>
        <v>En espera</v>
      </c>
      <c r="G633" s="93" t="str">
        <f>TEXT(VEND[[#This Row],[Fecha Recibe
O.C]],"mmmm")</f>
        <v>En espera</v>
      </c>
      <c r="H633" s="112">
        <v>759</v>
      </c>
      <c r="I633" s="112" t="s">
        <v>283</v>
      </c>
      <c r="J633" s="112"/>
      <c r="K633" s="58">
        <v>3</v>
      </c>
      <c r="L633" s="123">
        <v>48142.14</v>
      </c>
      <c r="M633" s="112" t="s">
        <v>2039</v>
      </c>
      <c r="N633" s="112">
        <v>84</v>
      </c>
      <c r="O633" s="212" t="str">
        <f>IF(VEND[[#This Row],[STATUS]]="O.C",(VEND[[#This Row],[Fecha Recibe
O.C]]+VEND[[#This Row],[Dias
entrega ]]),"")</f>
        <v/>
      </c>
      <c r="P633" s="212"/>
      <c r="Q633" s="58" t="str">
        <f>IFERROR(VEND[[#This Row],[Fecha de Despacho]]-VEND[[#This Row],[Fecha Estimada de Entrega a  Cliente]],"")</f>
        <v/>
      </c>
      <c r="R63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3" s="112" t="str">
        <f>IF(VEND[[#This Row],[STATUS]]="O.C","APROBADO",IF(VEND[[#This Row],[STATUS]]="PERDIDO","PERDIDO",IF(VEND[[#This Row],[STATUS]]="EN ESPERA","EN ESPERA")))</f>
        <v>EN ESPERA</v>
      </c>
      <c r="T633" s="112" t="str">
        <f>IF(VEND[[#This Row],[STATUS]]="O.C","APROBADO",IF(VEND[[#This Row],[STATUS]]="PERDIDO","PERDIDO",IF(VEND[[#This Row],[STATUS]]="EN ESPERA","EN ESPERA")))</f>
        <v>EN ESPERA</v>
      </c>
      <c r="U633" s="112" t="s">
        <v>46</v>
      </c>
      <c r="V633" s="112" t="s">
        <v>46</v>
      </c>
      <c r="W633" s="112" t="s">
        <v>1406</v>
      </c>
      <c r="X633" s="112"/>
    </row>
    <row r="634" spans="2:24" ht="15.75" x14ac:dyDescent="0.25">
      <c r="B634" s="71">
        <v>44358</v>
      </c>
      <c r="C634" s="195" t="str">
        <f>TEXT(VEND[[#This Row],[Fecha de Envío
Cotización]],"mmmm")</f>
        <v>junio</v>
      </c>
      <c r="D634" s="66" t="s">
        <v>68</v>
      </c>
      <c r="E634" s="190" t="s">
        <v>88</v>
      </c>
      <c r="F634" s="125" t="str">
        <f>IF(VEND[[#This Row],[STATUS]]="PERDIDO","N/A","En espera")</f>
        <v>En espera</v>
      </c>
      <c r="G634" s="93" t="str">
        <f>TEXT(VEND[[#This Row],[Fecha Recibe
O.C]],"mmmm")</f>
        <v>En espera</v>
      </c>
      <c r="H634" s="112">
        <v>760</v>
      </c>
      <c r="I634" s="112" t="s">
        <v>109</v>
      </c>
      <c r="J634" s="112"/>
      <c r="K634" s="58">
        <v>1</v>
      </c>
      <c r="L634" s="123">
        <v>208.85</v>
      </c>
      <c r="M634" s="112" t="s">
        <v>73</v>
      </c>
      <c r="N634" s="112">
        <v>14</v>
      </c>
      <c r="O634" s="212" t="str">
        <f>IF(VEND[[#This Row],[STATUS]]="O.C",(VEND[[#This Row],[Fecha Recibe
O.C]]+VEND[[#This Row],[Dias
entrega ]]),"")</f>
        <v/>
      </c>
      <c r="P634" s="212"/>
      <c r="Q634" s="58" t="str">
        <f>IFERROR(VEND[[#This Row],[Fecha de Despacho]]-VEND[[#This Row],[Fecha Estimada de Entrega a  Cliente]],"")</f>
        <v/>
      </c>
      <c r="R63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4" s="112" t="str">
        <f>IF(VEND[[#This Row],[STATUS]]="O.C","APROBADO",IF(VEND[[#This Row],[STATUS]]="PERDIDO","PERDIDO",IF(VEND[[#This Row],[STATUS]]="EN ESPERA","EN ESPERA")))</f>
        <v>EN ESPERA</v>
      </c>
      <c r="T634" s="112" t="str">
        <f>IF(VEND[[#This Row],[STATUS]]="O.C","APROBADO",IF(VEND[[#This Row],[STATUS]]="PERDIDO","PERDIDO",IF(VEND[[#This Row],[STATUS]]="EN ESPERA","EN ESPERA")))</f>
        <v>EN ESPERA</v>
      </c>
      <c r="U634" s="112" t="s">
        <v>46</v>
      </c>
      <c r="V634" s="112" t="s">
        <v>46</v>
      </c>
      <c r="W634" s="112" t="s">
        <v>1401</v>
      </c>
      <c r="X634" s="112"/>
    </row>
    <row r="635" spans="2:24" ht="15.75" x14ac:dyDescent="0.25">
      <c r="B635" s="71">
        <v>44358</v>
      </c>
      <c r="C635" s="195" t="str">
        <f>TEXT(VEND[[#This Row],[Fecha de Envío
Cotización]],"mmmm")</f>
        <v>junio</v>
      </c>
      <c r="D635" s="66" t="s">
        <v>68</v>
      </c>
      <c r="E635" s="190" t="s">
        <v>88</v>
      </c>
      <c r="F635" s="125" t="str">
        <f>IF(VEND[[#This Row],[STATUS]]="PERDIDO","N/A","En espera")</f>
        <v>En espera</v>
      </c>
      <c r="G635" s="93" t="str">
        <f>TEXT(VEND[[#This Row],[Fecha Recibe
O.C]],"mmmm")</f>
        <v>En espera</v>
      </c>
      <c r="H635" s="112">
        <v>761</v>
      </c>
      <c r="I635" s="112" t="s">
        <v>122</v>
      </c>
      <c r="J635" s="112"/>
      <c r="K635" s="58">
        <v>1</v>
      </c>
      <c r="L635" s="123">
        <v>225.23</v>
      </c>
      <c r="M635" s="112" t="s">
        <v>119</v>
      </c>
      <c r="N635" s="112">
        <v>0</v>
      </c>
      <c r="O635" s="212" t="str">
        <f>IF(VEND[[#This Row],[STATUS]]="O.C",(VEND[[#This Row],[Fecha Recibe
O.C]]+VEND[[#This Row],[Dias
entrega ]]),"")</f>
        <v/>
      </c>
      <c r="P635" s="212"/>
      <c r="Q635" s="58" t="str">
        <f>IFERROR(VEND[[#This Row],[Fecha de Despacho]]-VEND[[#This Row],[Fecha Estimada de Entrega a  Cliente]],"")</f>
        <v/>
      </c>
      <c r="R635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5" s="112" t="str">
        <f>IF(VEND[[#This Row],[STATUS]]="O.C","APROBADO",IF(VEND[[#This Row],[STATUS]]="PERDIDO","PERDIDO",IF(VEND[[#This Row],[STATUS]]="EN ESPERA","EN ESPERA")))</f>
        <v>EN ESPERA</v>
      </c>
      <c r="T635" s="112" t="str">
        <f>IF(VEND[[#This Row],[STATUS]]="O.C","APROBADO",IF(VEND[[#This Row],[STATUS]]="PERDIDO","PERDIDO",IF(VEND[[#This Row],[STATUS]]="EN ESPERA","EN ESPERA")))</f>
        <v>EN ESPERA</v>
      </c>
      <c r="U635" s="112" t="s">
        <v>46</v>
      </c>
      <c r="V635" s="112" t="s">
        <v>46</v>
      </c>
      <c r="W635" s="112" t="s">
        <v>1402</v>
      </c>
      <c r="X635" s="112"/>
    </row>
    <row r="636" spans="2:24" ht="15.75" x14ac:dyDescent="0.25">
      <c r="B636" s="71">
        <v>44358</v>
      </c>
      <c r="C636" s="195" t="str">
        <f>TEXT(VEND[[#This Row],[Fecha de Envío
Cotización]],"mmmm")</f>
        <v>junio</v>
      </c>
      <c r="D636" s="66" t="s">
        <v>50</v>
      </c>
      <c r="E636" s="190" t="s">
        <v>88</v>
      </c>
      <c r="F636" s="125" t="str">
        <f>IF(VEND[[#This Row],[STATUS]]="PERDIDO","N/A","En espera")</f>
        <v>En espera</v>
      </c>
      <c r="G636" s="93" t="str">
        <f>TEXT(VEND[[#This Row],[Fecha Recibe
O.C]],"mmmm")</f>
        <v>En espera</v>
      </c>
      <c r="H636" s="112">
        <v>762</v>
      </c>
      <c r="I636" s="112" t="s">
        <v>1786</v>
      </c>
      <c r="J636" s="112"/>
      <c r="K636" s="58">
        <v>1</v>
      </c>
      <c r="L636" s="123">
        <v>574.57000000000005</v>
      </c>
      <c r="M636" s="112" t="s">
        <v>77</v>
      </c>
      <c r="N636" s="112">
        <v>7</v>
      </c>
      <c r="O636" s="212" t="str">
        <f>IF(VEND[[#This Row],[STATUS]]="O.C",(VEND[[#This Row],[Fecha Recibe
O.C]]+VEND[[#This Row],[Dias
entrega ]]),"")</f>
        <v/>
      </c>
      <c r="P636" s="212"/>
      <c r="Q636" s="58" t="str">
        <f>IFERROR(VEND[[#This Row],[Fecha de Despacho]]-VEND[[#This Row],[Fecha Estimada de Entrega a  Cliente]],"")</f>
        <v/>
      </c>
      <c r="R636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6" s="112" t="str">
        <f>IF(VEND[[#This Row],[STATUS]]="O.C","APROBADO",IF(VEND[[#This Row],[STATUS]]="PERDIDO","PERDIDO",IF(VEND[[#This Row],[STATUS]]="EN ESPERA","EN ESPERA")))</f>
        <v>EN ESPERA</v>
      </c>
      <c r="T636" s="112" t="str">
        <f>IF(VEND[[#This Row],[STATUS]]="O.C","APROBADO",IF(VEND[[#This Row],[STATUS]]="PERDIDO","PERDIDO",IF(VEND[[#This Row],[STATUS]]="EN ESPERA","EN ESPERA")))</f>
        <v>EN ESPERA</v>
      </c>
      <c r="U636" s="112" t="s">
        <v>46</v>
      </c>
      <c r="V636" s="112" t="s">
        <v>46</v>
      </c>
      <c r="W636" s="112" t="s">
        <v>1401</v>
      </c>
      <c r="X636" s="112"/>
    </row>
    <row r="637" spans="2:24" ht="15.75" x14ac:dyDescent="0.25">
      <c r="B637" s="71">
        <v>44358</v>
      </c>
      <c r="C637" s="195" t="str">
        <f>TEXT(VEND[[#This Row],[Fecha de Envío
Cotización]],"mmmm")</f>
        <v>junio</v>
      </c>
      <c r="D637" s="66" t="s">
        <v>68</v>
      </c>
      <c r="E637" s="190" t="s">
        <v>88</v>
      </c>
      <c r="F637" s="125" t="str">
        <f>IF(VEND[[#This Row],[STATUS]]="PERDIDO","N/A","En espera")</f>
        <v>En espera</v>
      </c>
      <c r="G637" s="93" t="str">
        <f>TEXT(VEND[[#This Row],[Fecha Recibe
O.C]],"mmmm")</f>
        <v>En espera</v>
      </c>
      <c r="H637" s="112">
        <v>763</v>
      </c>
      <c r="I637" s="112" t="s">
        <v>2049</v>
      </c>
      <c r="J637" s="112"/>
      <c r="K637" s="58">
        <v>1</v>
      </c>
      <c r="L637" s="123">
        <v>463.51</v>
      </c>
      <c r="M637" s="112" t="s">
        <v>73</v>
      </c>
      <c r="N637" s="112">
        <v>14</v>
      </c>
      <c r="O637" s="212" t="str">
        <f>IF(VEND[[#This Row],[STATUS]]="O.C",(VEND[[#This Row],[Fecha Recibe
O.C]]+VEND[[#This Row],[Dias
entrega ]]),"")</f>
        <v/>
      </c>
      <c r="P637" s="212"/>
      <c r="Q637" s="58" t="str">
        <f>IFERROR(VEND[[#This Row],[Fecha de Despacho]]-VEND[[#This Row],[Fecha Estimada de Entrega a  Cliente]],"")</f>
        <v/>
      </c>
      <c r="R637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7" s="112" t="str">
        <f>IF(VEND[[#This Row],[STATUS]]="O.C","APROBADO",IF(VEND[[#This Row],[STATUS]]="PERDIDO","PERDIDO",IF(VEND[[#This Row],[STATUS]]="EN ESPERA","EN ESPERA")))</f>
        <v>EN ESPERA</v>
      </c>
      <c r="T637" s="112" t="str">
        <f>IF(VEND[[#This Row],[STATUS]]="O.C","APROBADO",IF(VEND[[#This Row],[STATUS]]="PERDIDO","PERDIDO",IF(VEND[[#This Row],[STATUS]]="EN ESPERA","EN ESPERA")))</f>
        <v>EN ESPERA</v>
      </c>
      <c r="U637" s="112" t="s">
        <v>46</v>
      </c>
      <c r="V637" s="112" t="s">
        <v>46</v>
      </c>
      <c r="W637" s="112" t="s">
        <v>1401</v>
      </c>
      <c r="X637" s="112"/>
    </row>
    <row r="638" spans="2:24" ht="15.75" x14ac:dyDescent="0.25">
      <c r="B638" s="71">
        <v>44358</v>
      </c>
      <c r="C638" s="195" t="str">
        <f>TEXT(VEND[[#This Row],[Fecha de Envío
Cotización]],"mmmm")</f>
        <v>junio</v>
      </c>
      <c r="D638" s="66" t="s">
        <v>50</v>
      </c>
      <c r="E638" s="190" t="s">
        <v>88</v>
      </c>
      <c r="F638" s="125" t="str">
        <f>IF(VEND[[#This Row],[STATUS]]="PERDIDO","N/A","En espera")</f>
        <v>En espera</v>
      </c>
      <c r="G638" s="93" t="str">
        <f>TEXT(VEND[[#This Row],[Fecha Recibe
O.C]],"mmmm")</f>
        <v>En espera</v>
      </c>
      <c r="H638" s="112">
        <v>764</v>
      </c>
      <c r="I638" s="112" t="s">
        <v>33</v>
      </c>
      <c r="J638" s="112"/>
      <c r="K638" s="58">
        <v>1</v>
      </c>
      <c r="L638" s="123">
        <v>581.85</v>
      </c>
      <c r="M638" s="112" t="s">
        <v>16</v>
      </c>
      <c r="N638" s="112">
        <v>21</v>
      </c>
      <c r="O638" s="212" t="str">
        <f>IF(VEND[[#This Row],[STATUS]]="O.C",(VEND[[#This Row],[Fecha Recibe
O.C]]+VEND[[#This Row],[Dias
entrega ]]),"")</f>
        <v/>
      </c>
      <c r="P638" s="212"/>
      <c r="Q638" s="58" t="str">
        <f>IFERROR(VEND[[#This Row],[Fecha de Despacho]]-VEND[[#This Row],[Fecha Estimada de Entrega a  Cliente]],"")</f>
        <v/>
      </c>
      <c r="R638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8" s="112" t="str">
        <f>IF(VEND[[#This Row],[STATUS]]="O.C","APROBADO",IF(VEND[[#This Row],[STATUS]]="PERDIDO","PERDIDO",IF(VEND[[#This Row],[STATUS]]="EN ESPERA","EN ESPERA")))</f>
        <v>EN ESPERA</v>
      </c>
      <c r="T638" s="112" t="str">
        <f>IF(VEND[[#This Row],[STATUS]]="O.C","APROBADO",IF(VEND[[#This Row],[STATUS]]="PERDIDO","PERDIDO",IF(VEND[[#This Row],[STATUS]]="EN ESPERA","EN ESPERA")))</f>
        <v>EN ESPERA</v>
      </c>
      <c r="U638" s="112" t="s">
        <v>46</v>
      </c>
      <c r="V638" s="112" t="s">
        <v>46</v>
      </c>
      <c r="W638" s="112" t="s">
        <v>1402</v>
      </c>
      <c r="X638" s="112"/>
    </row>
    <row r="639" spans="2:24" s="105" customFormat="1" ht="15.75" x14ac:dyDescent="0.25">
      <c r="B639" s="71">
        <v>44358</v>
      </c>
      <c r="C639" s="195" t="str">
        <f>TEXT(VEND[[#This Row],[Fecha de Envío
Cotización]],"mmmm")</f>
        <v>junio</v>
      </c>
      <c r="D639" s="66" t="s">
        <v>945</v>
      </c>
      <c r="E639" s="190" t="s">
        <v>83</v>
      </c>
      <c r="F639" s="125">
        <v>44369</v>
      </c>
      <c r="G639" s="93" t="str">
        <f>TEXT(VEND[[#This Row],[Fecha Recibe
O.C]],"mmmm")</f>
        <v>junio</v>
      </c>
      <c r="H639" s="112">
        <v>270197</v>
      </c>
      <c r="I639" s="112" t="s">
        <v>130</v>
      </c>
      <c r="J639" s="112"/>
      <c r="K639" s="58">
        <v>32</v>
      </c>
      <c r="L639" s="123">
        <v>684.72</v>
      </c>
      <c r="M639" s="112" t="s">
        <v>134</v>
      </c>
      <c r="N639" s="112">
        <v>28</v>
      </c>
      <c r="O639" s="212">
        <f>IF(VEND[[#This Row],[STATUS]]="O.C",(VEND[[#This Row],[Fecha Recibe
O.C]]+VEND[[#This Row],[Dias
entrega ]]),"")</f>
        <v>44397</v>
      </c>
      <c r="P639" s="212"/>
      <c r="Q639" s="58">
        <f>IFERROR(VEND[[#This Row],[Fecha de Despacho]]-VEND[[#This Row],[Fecha Estimada de Entrega a  Cliente]],"")</f>
        <v>-44397</v>
      </c>
      <c r="R639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39" s="112" t="str">
        <f>IF(VEND[[#This Row],[STATUS]]="O.C","APROBADO",IF(VEND[[#This Row],[STATUS]]="PERDIDO","PERDIDO",IF(VEND[[#This Row],[STATUS]]="EN ESPERA","EN ESPERA")))</f>
        <v>APROBADO</v>
      </c>
      <c r="T639" s="112" t="str">
        <f>IF(VEND[[#This Row],[STATUS]]="O.C","APROBADO",IF(VEND[[#This Row],[STATUS]]="PERDIDO","PERDIDO",IF(VEND[[#This Row],[STATUS]]="EN ESPERA","EN ESPERA")))</f>
        <v>APROBADO</v>
      </c>
      <c r="U639" s="112" t="s">
        <v>46</v>
      </c>
      <c r="V639" s="112" t="s">
        <v>46</v>
      </c>
      <c r="W639" s="112" t="s">
        <v>1402</v>
      </c>
      <c r="X639" s="112">
        <v>21000884</v>
      </c>
    </row>
    <row r="640" spans="2:24" ht="15.75" x14ac:dyDescent="0.25">
      <c r="B640" s="126">
        <v>44361</v>
      </c>
      <c r="C640" s="188" t="str">
        <f>TEXT(VEND[[#This Row],[Fecha de Envío
Cotización]],"mmmm")</f>
        <v>junio</v>
      </c>
      <c r="D640" s="66" t="s">
        <v>945</v>
      </c>
      <c r="E640" s="190" t="s">
        <v>88</v>
      </c>
      <c r="F640" s="125" t="str">
        <f>IF(VEND[[#This Row],[STATUS]]="PERDIDO","N/A","En espera")</f>
        <v>En espera</v>
      </c>
      <c r="G640" s="127" t="str">
        <f>TEXT(VEND[[#This Row],[Fecha Recibe
O.C]],"mmmm")</f>
        <v>En espera</v>
      </c>
      <c r="H640" s="128">
        <v>766</v>
      </c>
      <c r="I640" s="112" t="s">
        <v>1476</v>
      </c>
      <c r="J640" s="128"/>
      <c r="K640" s="129">
        <v>4</v>
      </c>
      <c r="L640" s="189">
        <v>2015.61</v>
      </c>
      <c r="M640" s="112" t="s">
        <v>51</v>
      </c>
      <c r="N640" s="112">
        <v>21</v>
      </c>
      <c r="O640" s="212" t="str">
        <f>IF(VEND[[#This Row],[STATUS]]="O.C",(VEND[[#This Row],[Fecha Recibe
O.C]]+VEND[[#This Row],[Dias
entrega ]]),"")</f>
        <v/>
      </c>
      <c r="P640" s="216"/>
      <c r="Q640" s="129" t="str">
        <f>IFERROR(VEND[[#This Row],[Fecha de Despacho]]-VEND[[#This Row],[Fecha Estimada de Entrega a  Cliente]],"")</f>
        <v/>
      </c>
      <c r="R64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0" s="128" t="str">
        <f>IF(VEND[[#This Row],[STATUS]]="O.C","APROBADO",IF(VEND[[#This Row],[STATUS]]="PERDIDO","PERDIDO",IF(VEND[[#This Row],[STATUS]]="EN ESPERA","EN ESPERA")))</f>
        <v>EN ESPERA</v>
      </c>
      <c r="T640" s="128" t="str">
        <f>IF(VEND[[#This Row],[STATUS]]="O.C","APROBADO",IF(VEND[[#This Row],[STATUS]]="PERDIDO","PERDIDO",IF(VEND[[#This Row],[STATUS]]="EN ESPERA","EN ESPERA")))</f>
        <v>EN ESPERA</v>
      </c>
      <c r="U640" s="112" t="s">
        <v>46</v>
      </c>
      <c r="V640" s="112" t="s">
        <v>46</v>
      </c>
      <c r="W640" s="112" t="s">
        <v>1401</v>
      </c>
      <c r="X640" s="128"/>
    </row>
    <row r="641" spans="2:24" ht="15.75" x14ac:dyDescent="0.25">
      <c r="B641" s="126">
        <v>44361</v>
      </c>
      <c r="C641" s="188" t="str">
        <f>TEXT(VEND[[#This Row],[Fecha de Envío
Cotización]],"mmmm")</f>
        <v>junio</v>
      </c>
      <c r="D641" s="66" t="s">
        <v>945</v>
      </c>
      <c r="E641" s="190" t="s">
        <v>88</v>
      </c>
      <c r="F641" s="125" t="str">
        <f>IF(VEND[[#This Row],[STATUS]]="PERDIDO","N/A","En espera")</f>
        <v>En espera</v>
      </c>
      <c r="G641" s="127" t="str">
        <f>TEXT(VEND[[#This Row],[Fecha Recibe
O.C]],"mmmm")</f>
        <v>En espera</v>
      </c>
      <c r="H641" s="128">
        <v>770</v>
      </c>
      <c r="I641" s="112" t="s">
        <v>1476</v>
      </c>
      <c r="J641" s="128"/>
      <c r="K641" s="129">
        <v>4</v>
      </c>
      <c r="L641" s="189">
        <v>1783.07</v>
      </c>
      <c r="M641" s="112" t="s">
        <v>62</v>
      </c>
      <c r="N641" s="112">
        <v>3</v>
      </c>
      <c r="O641" s="212" t="str">
        <f>IF(VEND[[#This Row],[STATUS]]="O.C",(VEND[[#This Row],[Fecha Recibe
O.C]]+VEND[[#This Row],[Dias
entrega ]]),"")</f>
        <v/>
      </c>
      <c r="P641" s="216"/>
      <c r="Q641" s="129" t="str">
        <f>IFERROR(VEND[[#This Row],[Fecha de Despacho]]-VEND[[#This Row],[Fecha Estimada de Entrega a  Cliente]],"")</f>
        <v/>
      </c>
      <c r="R64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1" s="128" t="str">
        <f>IF(VEND[[#This Row],[STATUS]]="O.C","APROBADO",IF(VEND[[#This Row],[STATUS]]="PERDIDO","PERDIDO",IF(VEND[[#This Row],[STATUS]]="EN ESPERA","EN ESPERA")))</f>
        <v>EN ESPERA</v>
      </c>
      <c r="T641" s="128" t="str">
        <f>IF(VEND[[#This Row],[STATUS]]="O.C","APROBADO",IF(VEND[[#This Row],[STATUS]]="PERDIDO","PERDIDO",IF(VEND[[#This Row],[STATUS]]="EN ESPERA","EN ESPERA")))</f>
        <v>EN ESPERA</v>
      </c>
      <c r="U641" s="112" t="s">
        <v>46</v>
      </c>
      <c r="V641" s="112" t="s">
        <v>46</v>
      </c>
      <c r="W641" s="112" t="s">
        <v>1401</v>
      </c>
      <c r="X641" s="128"/>
    </row>
    <row r="642" spans="2:24" ht="15.75" x14ac:dyDescent="0.25">
      <c r="B642" s="126">
        <v>44361</v>
      </c>
      <c r="C642" s="188" t="str">
        <f>TEXT(VEND[[#This Row],[Fecha de Envío
Cotización]],"mmmm")</f>
        <v>junio</v>
      </c>
      <c r="D642" s="66" t="s">
        <v>68</v>
      </c>
      <c r="E642" s="190" t="s">
        <v>88</v>
      </c>
      <c r="F642" s="125" t="str">
        <f>IF(VEND[[#This Row],[STATUS]]="PERDIDO","N/A","En espera")</f>
        <v>En espera</v>
      </c>
      <c r="G642" s="127" t="str">
        <f>TEXT(VEND[[#This Row],[Fecha Recibe
O.C]],"mmmm")</f>
        <v>En espera</v>
      </c>
      <c r="H642" s="128">
        <v>771</v>
      </c>
      <c r="I642" s="112" t="s">
        <v>109</v>
      </c>
      <c r="J642" s="128"/>
      <c r="K642" s="129">
        <v>7</v>
      </c>
      <c r="L642" s="189">
        <v>2644.4</v>
      </c>
      <c r="M642" s="112" t="s">
        <v>73</v>
      </c>
      <c r="N642" s="112">
        <v>14</v>
      </c>
      <c r="O642" s="212" t="str">
        <f>IF(VEND[[#This Row],[STATUS]]="O.C",(VEND[[#This Row],[Fecha Recibe
O.C]]+VEND[[#This Row],[Dias
entrega ]]),"")</f>
        <v/>
      </c>
      <c r="P642" s="216"/>
      <c r="Q642" s="129" t="str">
        <f>IFERROR(VEND[[#This Row],[Fecha de Despacho]]-VEND[[#This Row],[Fecha Estimada de Entrega a  Cliente]],"")</f>
        <v/>
      </c>
      <c r="R64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2" s="128" t="str">
        <f>IF(VEND[[#This Row],[STATUS]]="O.C","APROBADO",IF(VEND[[#This Row],[STATUS]]="PERDIDO","PERDIDO",IF(VEND[[#This Row],[STATUS]]="EN ESPERA","EN ESPERA")))</f>
        <v>EN ESPERA</v>
      </c>
      <c r="T642" s="128" t="str">
        <f>IF(VEND[[#This Row],[STATUS]]="O.C","APROBADO",IF(VEND[[#This Row],[STATUS]]="PERDIDO","PERDIDO",IF(VEND[[#This Row],[STATUS]]="EN ESPERA","EN ESPERA")))</f>
        <v>EN ESPERA</v>
      </c>
      <c r="U642" s="112" t="s">
        <v>46</v>
      </c>
      <c r="V642" s="112" t="s">
        <v>46</v>
      </c>
      <c r="W642" s="112" t="s">
        <v>1401</v>
      </c>
      <c r="X642" s="128"/>
    </row>
    <row r="643" spans="2:24" ht="15.75" x14ac:dyDescent="0.25">
      <c r="B643" s="126">
        <v>44361</v>
      </c>
      <c r="C643" s="188" t="str">
        <f>TEXT(VEND[[#This Row],[Fecha de Envío
Cotización]],"mmmm")</f>
        <v>junio</v>
      </c>
      <c r="D643" s="66" t="s">
        <v>50</v>
      </c>
      <c r="E643" s="190" t="s">
        <v>88</v>
      </c>
      <c r="F643" s="125" t="str">
        <f>IF(VEND[[#This Row],[STATUS]]="PERDIDO","N/A","En espera")</f>
        <v>En espera</v>
      </c>
      <c r="G643" s="127" t="str">
        <f>TEXT(VEND[[#This Row],[Fecha Recibe
O.C]],"mmmm")</f>
        <v>En espera</v>
      </c>
      <c r="H643" s="128">
        <v>772</v>
      </c>
      <c r="I643" s="112" t="s">
        <v>283</v>
      </c>
      <c r="J643" s="128"/>
      <c r="K643" s="129">
        <v>1</v>
      </c>
      <c r="L643" s="189">
        <v>1625.95</v>
      </c>
      <c r="M643" s="112" t="s">
        <v>36</v>
      </c>
      <c r="N643" s="112">
        <v>28</v>
      </c>
      <c r="O643" s="212" t="str">
        <f>IF(VEND[[#This Row],[STATUS]]="O.C",(VEND[[#This Row],[Fecha Recibe
O.C]]+VEND[[#This Row],[Dias
entrega ]]),"")</f>
        <v/>
      </c>
      <c r="P643" s="216"/>
      <c r="Q643" s="129" t="str">
        <f>IFERROR(VEND[[#This Row],[Fecha de Despacho]]-VEND[[#This Row],[Fecha Estimada de Entrega a  Cliente]],"")</f>
        <v/>
      </c>
      <c r="R64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3" s="128" t="str">
        <f>IF(VEND[[#This Row],[STATUS]]="O.C","APROBADO",IF(VEND[[#This Row],[STATUS]]="PERDIDO","PERDIDO",IF(VEND[[#This Row],[STATUS]]="EN ESPERA","EN ESPERA")))</f>
        <v>EN ESPERA</v>
      </c>
      <c r="T643" s="128" t="str">
        <f>IF(VEND[[#This Row],[STATUS]]="O.C","APROBADO",IF(VEND[[#This Row],[STATUS]]="PERDIDO","PERDIDO",IF(VEND[[#This Row],[STATUS]]="EN ESPERA","EN ESPERA")))</f>
        <v>EN ESPERA</v>
      </c>
      <c r="U643" s="112" t="s">
        <v>46</v>
      </c>
      <c r="V643" s="112" t="s">
        <v>46</v>
      </c>
      <c r="W643" s="112" t="s">
        <v>1402</v>
      </c>
      <c r="X643" s="128"/>
    </row>
    <row r="644" spans="2:24" ht="15.75" x14ac:dyDescent="0.25">
      <c r="B644" s="126">
        <v>44361</v>
      </c>
      <c r="C644" s="188" t="str">
        <f>TEXT(VEND[[#This Row],[Fecha de Envío
Cotización]],"mmmm")</f>
        <v>junio</v>
      </c>
      <c r="D644" s="66" t="s">
        <v>945</v>
      </c>
      <c r="E644" s="190" t="s">
        <v>88</v>
      </c>
      <c r="F644" s="125" t="str">
        <f>IF(VEND[[#This Row],[STATUS]]="PERDIDO","N/A","En espera")</f>
        <v>En espera</v>
      </c>
      <c r="G644" s="127" t="str">
        <f>TEXT(VEND[[#This Row],[Fecha Recibe
O.C]],"mmmm")</f>
        <v>En espera</v>
      </c>
      <c r="H644" s="128">
        <v>773</v>
      </c>
      <c r="I644" s="112" t="s">
        <v>320</v>
      </c>
      <c r="J644" s="128"/>
      <c r="K644" s="129">
        <v>1</v>
      </c>
      <c r="L644" s="189">
        <v>465.3</v>
      </c>
      <c r="M644" s="112" t="s">
        <v>22</v>
      </c>
      <c r="N644" s="112">
        <v>0</v>
      </c>
      <c r="O644" s="212" t="str">
        <f>IF(VEND[[#This Row],[STATUS]]="O.C",(VEND[[#This Row],[Fecha Recibe
O.C]]+VEND[[#This Row],[Dias
entrega ]]),"")</f>
        <v/>
      </c>
      <c r="P644" s="216"/>
      <c r="Q644" s="129" t="str">
        <f>IFERROR(VEND[[#This Row],[Fecha de Despacho]]-VEND[[#This Row],[Fecha Estimada de Entrega a  Cliente]],"")</f>
        <v/>
      </c>
      <c r="R64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4" s="128" t="str">
        <f>IF(VEND[[#This Row],[STATUS]]="O.C","APROBADO",IF(VEND[[#This Row],[STATUS]]="PERDIDO","PERDIDO",IF(VEND[[#This Row],[STATUS]]="EN ESPERA","EN ESPERA")))</f>
        <v>EN ESPERA</v>
      </c>
      <c r="T644" s="128" t="str">
        <f>IF(VEND[[#This Row],[STATUS]]="O.C","APROBADO",IF(VEND[[#This Row],[STATUS]]="PERDIDO","PERDIDO",IF(VEND[[#This Row],[STATUS]]="EN ESPERA","EN ESPERA")))</f>
        <v>EN ESPERA</v>
      </c>
      <c r="U644" s="112" t="s">
        <v>46</v>
      </c>
      <c r="V644" s="112" t="s">
        <v>46</v>
      </c>
      <c r="W644" s="112" t="s">
        <v>1405</v>
      </c>
      <c r="X644" s="128"/>
    </row>
    <row r="645" spans="2:24" ht="15.75" x14ac:dyDescent="0.25">
      <c r="B645" s="126">
        <v>44361</v>
      </c>
      <c r="C645" s="188" t="str">
        <f>TEXT(VEND[[#This Row],[Fecha de Envío
Cotización]],"mmmm")</f>
        <v>junio</v>
      </c>
      <c r="D645" s="66" t="s">
        <v>50</v>
      </c>
      <c r="E645" s="190" t="s">
        <v>88</v>
      </c>
      <c r="F645" s="125" t="str">
        <f>IF(VEND[[#This Row],[STATUS]]="PERDIDO","N/A","En espera")</f>
        <v>En espera</v>
      </c>
      <c r="G645" s="127" t="str">
        <f>TEXT(VEND[[#This Row],[Fecha Recibe
O.C]],"mmmm")</f>
        <v>En espera</v>
      </c>
      <c r="H645" s="128">
        <v>774</v>
      </c>
      <c r="I645" s="112" t="s">
        <v>125</v>
      </c>
      <c r="J645" s="128"/>
      <c r="K645" s="129">
        <v>2</v>
      </c>
      <c r="L645" s="189">
        <v>2945.54</v>
      </c>
      <c r="M645" s="112" t="s">
        <v>36</v>
      </c>
      <c r="N645" s="112">
        <v>28</v>
      </c>
      <c r="O645" s="212" t="str">
        <f>IF(VEND[[#This Row],[STATUS]]="O.C",(VEND[[#This Row],[Fecha Recibe
O.C]]+VEND[[#This Row],[Dias
entrega ]]),"")</f>
        <v/>
      </c>
      <c r="P645" s="216"/>
      <c r="Q645" s="129" t="str">
        <f>IFERROR(VEND[[#This Row],[Fecha de Despacho]]-VEND[[#This Row],[Fecha Estimada de Entrega a  Cliente]],"")</f>
        <v/>
      </c>
      <c r="R64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5" s="128" t="str">
        <f>IF(VEND[[#This Row],[STATUS]]="O.C","APROBADO",IF(VEND[[#This Row],[STATUS]]="PERDIDO","PERDIDO",IF(VEND[[#This Row],[STATUS]]="EN ESPERA","EN ESPERA")))</f>
        <v>EN ESPERA</v>
      </c>
      <c r="T645" s="128" t="str">
        <f>IF(VEND[[#This Row],[STATUS]]="O.C","APROBADO",IF(VEND[[#This Row],[STATUS]]="PERDIDO","PERDIDO",IF(VEND[[#This Row],[STATUS]]="EN ESPERA","EN ESPERA")))</f>
        <v>EN ESPERA</v>
      </c>
      <c r="U645" s="112" t="s">
        <v>46</v>
      </c>
      <c r="V645" s="112" t="s">
        <v>46</v>
      </c>
      <c r="W645" s="112" t="s">
        <v>1401</v>
      </c>
      <c r="X645" s="128"/>
    </row>
    <row r="646" spans="2:24" ht="15.75" x14ac:dyDescent="0.25">
      <c r="B646" s="126">
        <v>44361</v>
      </c>
      <c r="C646" s="188" t="str">
        <f>TEXT(VEND[[#This Row],[Fecha de Envío
Cotización]],"mmmm")</f>
        <v>junio</v>
      </c>
      <c r="D646" s="66" t="s">
        <v>945</v>
      </c>
      <c r="E646" s="190" t="s">
        <v>88</v>
      </c>
      <c r="F646" s="125" t="str">
        <f>IF(VEND[[#This Row],[STATUS]]="PERDIDO","N/A","En espera")</f>
        <v>En espera</v>
      </c>
      <c r="G646" s="127" t="str">
        <f>TEXT(VEND[[#This Row],[Fecha Recibe
O.C]],"mmmm")</f>
        <v>En espera</v>
      </c>
      <c r="H646" s="128">
        <v>776</v>
      </c>
      <c r="I646" s="112" t="s">
        <v>31</v>
      </c>
      <c r="J646" s="128"/>
      <c r="K646" s="129">
        <v>1</v>
      </c>
      <c r="L646" s="189">
        <v>71.28</v>
      </c>
      <c r="M646" s="112" t="s">
        <v>62</v>
      </c>
      <c r="N646" s="112">
        <v>3</v>
      </c>
      <c r="O646" s="212" t="str">
        <f>IF(VEND[[#This Row],[STATUS]]="O.C",(VEND[[#This Row],[Fecha Recibe
O.C]]+VEND[[#This Row],[Dias
entrega ]]),"")</f>
        <v/>
      </c>
      <c r="P646" s="216"/>
      <c r="Q646" s="129" t="str">
        <f>IFERROR(VEND[[#This Row],[Fecha de Despacho]]-VEND[[#This Row],[Fecha Estimada de Entrega a  Cliente]],"")</f>
        <v/>
      </c>
      <c r="R64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6" s="128" t="str">
        <f>IF(VEND[[#This Row],[STATUS]]="O.C","APROBADO",IF(VEND[[#This Row],[STATUS]]="PERDIDO","PERDIDO",IF(VEND[[#This Row],[STATUS]]="EN ESPERA","EN ESPERA")))</f>
        <v>EN ESPERA</v>
      </c>
      <c r="T646" s="128" t="str">
        <f>IF(VEND[[#This Row],[STATUS]]="O.C","APROBADO",IF(VEND[[#This Row],[STATUS]]="PERDIDO","PERDIDO",IF(VEND[[#This Row],[STATUS]]="EN ESPERA","EN ESPERA")))</f>
        <v>EN ESPERA</v>
      </c>
      <c r="U646" s="112" t="s">
        <v>46</v>
      </c>
      <c r="V646" s="112" t="s">
        <v>46</v>
      </c>
      <c r="W646" s="112" t="s">
        <v>1405</v>
      </c>
      <c r="X646" s="128"/>
    </row>
    <row r="647" spans="2:24" ht="15.75" x14ac:dyDescent="0.25">
      <c r="B647" s="126">
        <v>44361</v>
      </c>
      <c r="C647" s="188" t="str">
        <f>TEXT(VEND[[#This Row],[Fecha de Envío
Cotización]],"mmmm")</f>
        <v>junio</v>
      </c>
      <c r="D647" s="66" t="s">
        <v>945</v>
      </c>
      <c r="E647" s="190" t="s">
        <v>88</v>
      </c>
      <c r="F647" s="125" t="str">
        <f>IF(VEND[[#This Row],[STATUS]]="PERDIDO","N/A","En espera")</f>
        <v>En espera</v>
      </c>
      <c r="G647" s="127" t="str">
        <f>TEXT(VEND[[#This Row],[Fecha Recibe
O.C]],"mmmm")</f>
        <v>En espera</v>
      </c>
      <c r="H647" s="128">
        <v>777</v>
      </c>
      <c r="I647" s="112" t="s">
        <v>1417</v>
      </c>
      <c r="J647" s="128"/>
      <c r="K647" s="129">
        <v>1</v>
      </c>
      <c r="L647" s="189">
        <v>96</v>
      </c>
      <c r="M647" s="112" t="s">
        <v>73</v>
      </c>
      <c r="N647" s="112">
        <v>14</v>
      </c>
      <c r="O647" s="212" t="str">
        <f>IF(VEND[[#This Row],[STATUS]]="O.C",(VEND[[#This Row],[Fecha Recibe
O.C]]+VEND[[#This Row],[Dias
entrega ]]),"")</f>
        <v/>
      </c>
      <c r="P647" s="216"/>
      <c r="Q647" s="129" t="str">
        <f>IFERROR(VEND[[#This Row],[Fecha de Despacho]]-VEND[[#This Row],[Fecha Estimada de Entrega a  Cliente]],"")</f>
        <v/>
      </c>
      <c r="R64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7" s="128" t="str">
        <f>IF(VEND[[#This Row],[STATUS]]="O.C","APROBADO",IF(VEND[[#This Row],[STATUS]]="PERDIDO","PERDIDO",IF(VEND[[#This Row],[STATUS]]="EN ESPERA","EN ESPERA")))</f>
        <v>EN ESPERA</v>
      </c>
      <c r="T647" s="128" t="str">
        <f>IF(VEND[[#This Row],[STATUS]]="O.C","APROBADO",IF(VEND[[#This Row],[STATUS]]="PERDIDO","PERDIDO",IF(VEND[[#This Row],[STATUS]]="EN ESPERA","EN ESPERA")))</f>
        <v>EN ESPERA</v>
      </c>
      <c r="U647" s="112" t="s">
        <v>46</v>
      </c>
      <c r="V647" s="112" t="s">
        <v>46</v>
      </c>
      <c r="W647" s="112" t="s">
        <v>1402</v>
      </c>
      <c r="X647" s="128"/>
    </row>
    <row r="648" spans="2:24" ht="15.75" x14ac:dyDescent="0.25">
      <c r="B648" s="126">
        <v>44361</v>
      </c>
      <c r="C648" s="188" t="str">
        <f>TEXT(VEND[[#This Row],[Fecha de Envío
Cotización]],"mmmm")</f>
        <v>junio</v>
      </c>
      <c r="D648" s="66" t="s">
        <v>50</v>
      </c>
      <c r="E648" s="190" t="s">
        <v>88</v>
      </c>
      <c r="F648" s="125" t="str">
        <f>IF(VEND[[#This Row],[STATUS]]="PERDIDO","N/A","En espera")</f>
        <v>En espera</v>
      </c>
      <c r="G648" s="127" t="str">
        <f>TEXT(VEND[[#This Row],[Fecha Recibe
O.C]],"mmmm")</f>
        <v>En espera</v>
      </c>
      <c r="H648" s="128">
        <v>779</v>
      </c>
      <c r="I648" s="112" t="s">
        <v>283</v>
      </c>
      <c r="J648" s="128"/>
      <c r="K648" s="129">
        <v>3</v>
      </c>
      <c r="L648" s="189">
        <v>1755.24</v>
      </c>
      <c r="M648" s="112" t="s">
        <v>36</v>
      </c>
      <c r="N648" s="112">
        <v>28</v>
      </c>
      <c r="O648" s="212" t="str">
        <f>IF(VEND[[#This Row],[STATUS]]="O.C",(VEND[[#This Row],[Fecha Recibe
O.C]]+VEND[[#This Row],[Dias
entrega ]]),"")</f>
        <v/>
      </c>
      <c r="P648" s="216"/>
      <c r="Q648" s="129" t="str">
        <f>IFERROR(VEND[[#This Row],[Fecha de Despacho]]-VEND[[#This Row],[Fecha Estimada de Entrega a  Cliente]],"")</f>
        <v/>
      </c>
      <c r="R64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8" s="128" t="str">
        <f>IF(VEND[[#This Row],[STATUS]]="O.C","APROBADO",IF(VEND[[#This Row],[STATUS]]="PERDIDO","PERDIDO",IF(VEND[[#This Row],[STATUS]]="EN ESPERA","EN ESPERA")))</f>
        <v>EN ESPERA</v>
      </c>
      <c r="T648" s="128" t="str">
        <f>IF(VEND[[#This Row],[STATUS]]="O.C","APROBADO",IF(VEND[[#This Row],[STATUS]]="PERDIDO","PERDIDO",IF(VEND[[#This Row],[STATUS]]="EN ESPERA","EN ESPERA")))</f>
        <v>EN ESPERA</v>
      </c>
      <c r="U648" s="112" t="s">
        <v>46</v>
      </c>
      <c r="V648" s="112" t="s">
        <v>46</v>
      </c>
      <c r="W648" s="112" t="s">
        <v>1658</v>
      </c>
      <c r="X648" s="128"/>
    </row>
    <row r="649" spans="2:24" ht="15.75" x14ac:dyDescent="0.25">
      <c r="B649" s="237">
        <v>44361</v>
      </c>
      <c r="C649" s="188" t="str">
        <f>TEXT(VEND[[#This Row],[Fecha de Envío
Cotización]],"mmmm")</f>
        <v>junio</v>
      </c>
      <c r="D649" s="66" t="s">
        <v>1163</v>
      </c>
      <c r="E649" s="190" t="s">
        <v>83</v>
      </c>
      <c r="F649" s="125">
        <v>44364</v>
      </c>
      <c r="G649" s="127" t="str">
        <f>TEXT(VEND[[#This Row],[Fecha Recibe
O.C]],"mmmm")</f>
        <v>junio</v>
      </c>
      <c r="H649" s="128">
        <v>780</v>
      </c>
      <c r="I649" s="112" t="s">
        <v>1241</v>
      </c>
      <c r="J649" s="128"/>
      <c r="K649" s="129">
        <v>9</v>
      </c>
      <c r="L649" s="189">
        <v>2662.49</v>
      </c>
      <c r="M649" s="112" t="s">
        <v>16</v>
      </c>
      <c r="N649" s="112">
        <v>21</v>
      </c>
      <c r="O649" s="212">
        <f>IF(VEND[[#This Row],[STATUS]]="O.C",(VEND[[#This Row],[Fecha Recibe
O.C]]+VEND[[#This Row],[Dias
entrega ]]),"")</f>
        <v>44385</v>
      </c>
      <c r="P649" s="216"/>
      <c r="Q649" s="129">
        <f>IFERROR(VEND[[#This Row],[Fecha de Despacho]]-VEND[[#This Row],[Fecha Estimada de Entrega a  Cliente]],"")</f>
        <v>-44385</v>
      </c>
      <c r="R64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49" s="128" t="str">
        <f>IF(VEND[[#This Row],[STATUS]]="O.C","APROBADO",IF(VEND[[#This Row],[STATUS]]="PERDIDO","PERDIDO",IF(VEND[[#This Row],[STATUS]]="EN ESPERA","EN ESPERA")))</f>
        <v>APROBADO</v>
      </c>
      <c r="T649" s="128" t="str">
        <f>IF(VEND[[#This Row],[STATUS]]="O.C","APROBADO",IF(VEND[[#This Row],[STATUS]]="PERDIDO","PERDIDO",IF(VEND[[#This Row],[STATUS]]="EN ESPERA","EN ESPERA")))</f>
        <v>APROBADO</v>
      </c>
      <c r="U649" s="112" t="s">
        <v>46</v>
      </c>
      <c r="V649" s="112" t="s">
        <v>46</v>
      </c>
      <c r="W649" s="112" t="s">
        <v>1402</v>
      </c>
      <c r="X649" s="112" t="s">
        <v>2248</v>
      </c>
    </row>
    <row r="650" spans="2:24" ht="15.75" x14ac:dyDescent="0.25">
      <c r="B650" s="126">
        <v>44361</v>
      </c>
      <c r="C650" s="188" t="str">
        <f>TEXT(VEND[[#This Row],[Fecha de Envío
Cotización]],"mmmm")</f>
        <v>junio</v>
      </c>
      <c r="D650" s="66" t="s">
        <v>945</v>
      </c>
      <c r="E650" s="190" t="s">
        <v>42</v>
      </c>
      <c r="F650" s="125" t="str">
        <f>IF(VEND[[#This Row],[STATUS]]="PERDIDO","N/A","En espera")</f>
        <v>N/A</v>
      </c>
      <c r="G650" s="127" t="str">
        <f>TEXT(VEND[[#This Row],[Fecha Recibe
O.C]],"mmmm")</f>
        <v>N/A</v>
      </c>
      <c r="H650" s="128">
        <v>781</v>
      </c>
      <c r="I650" s="112" t="s">
        <v>424</v>
      </c>
      <c r="J650" s="128"/>
      <c r="K650" s="129">
        <v>3</v>
      </c>
      <c r="L650" s="189">
        <v>7640.59</v>
      </c>
      <c r="M650" s="112" t="s">
        <v>16</v>
      </c>
      <c r="N650" s="112">
        <v>21</v>
      </c>
      <c r="O650" s="212" t="str">
        <f>IF(VEND[[#This Row],[STATUS]]="O.C",(VEND[[#This Row],[Fecha Recibe
O.C]]+VEND[[#This Row],[Dias
entrega ]]),"")</f>
        <v/>
      </c>
      <c r="P650" s="216"/>
      <c r="Q650" s="129" t="str">
        <f>IFERROR(VEND[[#This Row],[Fecha de Despacho]]-VEND[[#This Row],[Fecha Estimada de Entrega a  Cliente]],"")</f>
        <v/>
      </c>
      <c r="R65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0" s="128" t="str">
        <f>IF(VEND[[#This Row],[STATUS]]="O.C","APROBADO",IF(VEND[[#This Row],[STATUS]]="PERDIDO","PERDIDO",IF(VEND[[#This Row],[STATUS]]="EN ESPERA","EN ESPERA")))</f>
        <v>PERDIDO</v>
      </c>
      <c r="T650" s="128" t="str">
        <f>IF(VEND[[#This Row],[STATUS]]="O.C","APROBADO",IF(VEND[[#This Row],[STATUS]]="PERDIDO","PERDIDO",IF(VEND[[#This Row],[STATUS]]="EN ESPERA","EN ESPERA")))</f>
        <v>PERDIDO</v>
      </c>
      <c r="U650" s="112" t="s">
        <v>46</v>
      </c>
      <c r="V650" s="112" t="s">
        <v>46</v>
      </c>
      <c r="W650" s="112" t="s">
        <v>1402</v>
      </c>
      <c r="X650" s="128"/>
    </row>
    <row r="651" spans="2:24" ht="15.75" x14ac:dyDescent="0.25">
      <c r="B651" s="126">
        <v>44361</v>
      </c>
      <c r="C651" s="188" t="str">
        <f>TEXT(VEND[[#This Row],[Fecha de Envío
Cotización]],"mmmm")</f>
        <v>junio</v>
      </c>
      <c r="D651" s="66" t="s">
        <v>1163</v>
      </c>
      <c r="E651" s="190" t="s">
        <v>88</v>
      </c>
      <c r="F651" s="125" t="str">
        <f>IF(VEND[[#This Row],[STATUS]]="PERDIDO","N/A","En espera")</f>
        <v>En espera</v>
      </c>
      <c r="G651" s="127" t="str">
        <f>TEXT(VEND[[#This Row],[Fecha Recibe
O.C]],"mmmm")</f>
        <v>En espera</v>
      </c>
      <c r="H651" s="128">
        <v>782</v>
      </c>
      <c r="I651" s="112" t="s">
        <v>1241</v>
      </c>
      <c r="J651" s="128"/>
      <c r="K651" s="129">
        <v>1</v>
      </c>
      <c r="L651" s="189">
        <v>3849.22</v>
      </c>
      <c r="M651" s="128"/>
      <c r="N651" s="112"/>
      <c r="O651" s="212" t="str">
        <f>IF(VEND[[#This Row],[STATUS]]="O.C",(VEND[[#This Row],[Fecha Recibe
O.C]]+VEND[[#This Row],[Dias
entrega ]]),"")</f>
        <v/>
      </c>
      <c r="P651" s="216"/>
      <c r="Q651" s="129" t="str">
        <f>IFERROR(VEND[[#This Row],[Fecha de Despacho]]-VEND[[#This Row],[Fecha Estimada de Entrega a  Cliente]],"")</f>
        <v/>
      </c>
      <c r="R65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1" s="128" t="str">
        <f>IF(VEND[[#This Row],[STATUS]]="O.C","APROBADO",IF(VEND[[#This Row],[STATUS]]="PERDIDO","PERDIDO",IF(VEND[[#This Row],[STATUS]]="EN ESPERA","EN ESPERA")))</f>
        <v>EN ESPERA</v>
      </c>
      <c r="T651" s="128" t="str">
        <f>IF(VEND[[#This Row],[STATUS]]="O.C","APROBADO",IF(VEND[[#This Row],[STATUS]]="PERDIDO","PERDIDO",IF(VEND[[#This Row],[STATUS]]="EN ESPERA","EN ESPERA")))</f>
        <v>EN ESPERA</v>
      </c>
      <c r="U651" s="128"/>
      <c r="V651" s="128"/>
      <c r="W651" s="128"/>
      <c r="X651" s="128"/>
    </row>
    <row r="652" spans="2:24" s="105" customFormat="1" ht="15.75" x14ac:dyDescent="0.25">
      <c r="B652" s="126">
        <v>44361</v>
      </c>
      <c r="C652" s="188" t="str">
        <f>TEXT(VEND[[#This Row],[Fecha de Envío
Cotización]],"mmmm")</f>
        <v>junio</v>
      </c>
      <c r="D652" s="66" t="s">
        <v>945</v>
      </c>
      <c r="E652" s="190" t="s">
        <v>42</v>
      </c>
      <c r="F652" s="125" t="str">
        <f>IF(VEND[[#This Row],[STATUS]]="PERDIDO","N/A","En espera")</f>
        <v>N/A</v>
      </c>
      <c r="G652" s="127" t="str">
        <f>TEXT(VEND[[#This Row],[Fecha Recibe
O.C]],"mmmm")</f>
        <v>N/A</v>
      </c>
      <c r="H652" s="128">
        <v>783</v>
      </c>
      <c r="I652" s="112" t="s">
        <v>424</v>
      </c>
      <c r="J652" s="128"/>
      <c r="K652" s="129">
        <v>3</v>
      </c>
      <c r="L652" s="189">
        <v>8960.34</v>
      </c>
      <c r="M652" s="112" t="s">
        <v>16</v>
      </c>
      <c r="N652" s="112">
        <v>21</v>
      </c>
      <c r="O652" s="212" t="str">
        <f>IF(VEND[[#This Row],[STATUS]]="O.C",(VEND[[#This Row],[Fecha Recibe
O.C]]+VEND[[#This Row],[Dias
entrega ]]),"")</f>
        <v/>
      </c>
      <c r="P652" s="216"/>
      <c r="Q652" s="129" t="str">
        <f>IFERROR(VEND[[#This Row],[Fecha de Despacho]]-VEND[[#This Row],[Fecha Estimada de Entrega a  Cliente]],"")</f>
        <v/>
      </c>
      <c r="R65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2" s="128" t="str">
        <f>IF(VEND[[#This Row],[STATUS]]="O.C","APROBADO",IF(VEND[[#This Row],[STATUS]]="PERDIDO","PERDIDO",IF(VEND[[#This Row],[STATUS]]="EN ESPERA","EN ESPERA")))</f>
        <v>PERDIDO</v>
      </c>
      <c r="T652" s="128" t="str">
        <f>IF(VEND[[#This Row],[STATUS]]="O.C","APROBADO",IF(VEND[[#This Row],[STATUS]]="PERDIDO","PERDIDO",IF(VEND[[#This Row],[STATUS]]="EN ESPERA","EN ESPERA")))</f>
        <v>PERDIDO</v>
      </c>
      <c r="U652" s="112" t="s">
        <v>46</v>
      </c>
      <c r="V652" s="112" t="s">
        <v>46</v>
      </c>
      <c r="W652" s="112" t="s">
        <v>1402</v>
      </c>
      <c r="X652" s="128"/>
    </row>
    <row r="653" spans="2:24" ht="15.75" x14ac:dyDescent="0.25">
      <c r="B653" s="126">
        <v>44361</v>
      </c>
      <c r="C653" s="188" t="str">
        <f>TEXT(VEND[[#This Row],[Fecha de Envío
Cotización]],"mmmm")</f>
        <v>junio</v>
      </c>
      <c r="D653" s="66" t="s">
        <v>50</v>
      </c>
      <c r="E653" s="190" t="s">
        <v>88</v>
      </c>
      <c r="F653" s="125" t="str">
        <f>IF(VEND[[#This Row],[STATUS]]="PERDIDO","N/A","En espera")</f>
        <v>En espera</v>
      </c>
      <c r="G653" s="127" t="str">
        <f>TEXT(VEND[[#This Row],[Fecha Recibe
O.C]],"mmmm")</f>
        <v>En espera</v>
      </c>
      <c r="H653" s="128">
        <v>784</v>
      </c>
      <c r="I653" s="112" t="s">
        <v>1109</v>
      </c>
      <c r="J653" s="128"/>
      <c r="K653" s="129">
        <v>1</v>
      </c>
      <c r="L653" s="189">
        <v>1457.96</v>
      </c>
      <c r="M653" s="112" t="s">
        <v>16</v>
      </c>
      <c r="N653" s="112">
        <v>21</v>
      </c>
      <c r="O653" s="212" t="str">
        <f>IF(VEND[[#This Row],[STATUS]]="O.C",(VEND[[#This Row],[Fecha Recibe
O.C]]+VEND[[#This Row],[Dias
entrega ]]),"")</f>
        <v/>
      </c>
      <c r="P653" s="216"/>
      <c r="Q653" s="129" t="str">
        <f>IFERROR(VEND[[#This Row],[Fecha de Despacho]]-VEND[[#This Row],[Fecha Estimada de Entrega a  Cliente]],"")</f>
        <v/>
      </c>
      <c r="R65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3" s="128" t="str">
        <f>IF(VEND[[#This Row],[STATUS]]="O.C","APROBADO",IF(VEND[[#This Row],[STATUS]]="PERDIDO","PERDIDO",IF(VEND[[#This Row],[STATUS]]="EN ESPERA","EN ESPERA")))</f>
        <v>EN ESPERA</v>
      </c>
      <c r="T653" s="128" t="str">
        <f>IF(VEND[[#This Row],[STATUS]]="O.C","APROBADO",IF(VEND[[#This Row],[STATUS]]="PERDIDO","PERDIDO",IF(VEND[[#This Row],[STATUS]]="EN ESPERA","EN ESPERA")))</f>
        <v>EN ESPERA</v>
      </c>
      <c r="U653" s="112" t="s">
        <v>46</v>
      </c>
      <c r="V653" s="112" t="s">
        <v>46</v>
      </c>
      <c r="W653" s="112" t="s">
        <v>1401</v>
      </c>
      <c r="X653" s="128"/>
    </row>
    <row r="654" spans="2:24" ht="15.75" x14ac:dyDescent="0.25">
      <c r="B654" s="126">
        <v>44361</v>
      </c>
      <c r="C654" s="188" t="str">
        <f>TEXT(VEND[[#This Row],[Fecha de Envío
Cotización]],"mmmm")</f>
        <v>junio</v>
      </c>
      <c r="D654" s="66" t="s">
        <v>50</v>
      </c>
      <c r="E654" s="190" t="s">
        <v>88</v>
      </c>
      <c r="F654" s="125" t="str">
        <f>IF(VEND[[#This Row],[STATUS]]="PERDIDO","N/A","En espera")</f>
        <v>En espera</v>
      </c>
      <c r="G654" s="127" t="str">
        <f>TEXT(VEND[[#This Row],[Fecha Recibe
O.C]],"mmmm")</f>
        <v>En espera</v>
      </c>
      <c r="H654" s="128">
        <v>785</v>
      </c>
      <c r="I654" s="112" t="s">
        <v>1109</v>
      </c>
      <c r="J654" s="128"/>
      <c r="K654" s="129">
        <v>1</v>
      </c>
      <c r="L654" s="189">
        <v>1083</v>
      </c>
      <c r="M654" s="112" t="s">
        <v>36</v>
      </c>
      <c r="N654" s="112">
        <v>28</v>
      </c>
      <c r="O654" s="212" t="str">
        <f>IF(VEND[[#This Row],[STATUS]]="O.C",(VEND[[#This Row],[Fecha Recibe
O.C]]+VEND[[#This Row],[Dias
entrega ]]),"")</f>
        <v/>
      </c>
      <c r="P654" s="216"/>
      <c r="Q654" s="129" t="str">
        <f>IFERROR(VEND[[#This Row],[Fecha de Despacho]]-VEND[[#This Row],[Fecha Estimada de Entrega a  Cliente]],"")</f>
        <v/>
      </c>
      <c r="R65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4" s="128" t="str">
        <f>IF(VEND[[#This Row],[STATUS]]="O.C","APROBADO",IF(VEND[[#This Row],[STATUS]]="PERDIDO","PERDIDO",IF(VEND[[#This Row],[STATUS]]="EN ESPERA","EN ESPERA")))</f>
        <v>EN ESPERA</v>
      </c>
      <c r="T654" s="128" t="str">
        <f>IF(VEND[[#This Row],[STATUS]]="O.C","APROBADO",IF(VEND[[#This Row],[STATUS]]="PERDIDO","PERDIDO",IF(VEND[[#This Row],[STATUS]]="EN ESPERA","EN ESPERA")))</f>
        <v>EN ESPERA</v>
      </c>
      <c r="U654" s="112" t="s">
        <v>46</v>
      </c>
      <c r="V654" s="112" t="s">
        <v>46</v>
      </c>
      <c r="W654" s="112" t="s">
        <v>1401</v>
      </c>
      <c r="X654" s="128"/>
    </row>
    <row r="655" spans="2:24" ht="15.75" x14ac:dyDescent="0.25">
      <c r="B655" s="126">
        <v>44361</v>
      </c>
      <c r="C655" s="188" t="str">
        <f>TEXT(VEND[[#This Row],[Fecha de Envío
Cotización]],"mmmm")</f>
        <v>junio</v>
      </c>
      <c r="D655" s="66" t="s">
        <v>50</v>
      </c>
      <c r="E655" s="190" t="s">
        <v>88</v>
      </c>
      <c r="F655" s="125" t="str">
        <f>IF(VEND[[#This Row],[STATUS]]="PERDIDO","N/A","En espera")</f>
        <v>En espera</v>
      </c>
      <c r="G655" s="127" t="str">
        <f>TEXT(VEND[[#This Row],[Fecha Recibe
O.C]],"mmmm")</f>
        <v>En espera</v>
      </c>
      <c r="H655" s="128">
        <v>786</v>
      </c>
      <c r="I655" s="112" t="s">
        <v>283</v>
      </c>
      <c r="J655" s="128"/>
      <c r="K655" s="129">
        <v>3</v>
      </c>
      <c r="L655" s="189">
        <v>884.01</v>
      </c>
      <c r="M655" s="112" t="s">
        <v>36</v>
      </c>
      <c r="N655" s="112">
        <v>28</v>
      </c>
      <c r="O655" s="212" t="str">
        <f>IF(VEND[[#This Row],[STATUS]]="O.C",(VEND[[#This Row],[Fecha Recibe
O.C]]+VEND[[#This Row],[Dias
entrega ]]),"")</f>
        <v/>
      </c>
      <c r="P655" s="216"/>
      <c r="Q655" s="129" t="str">
        <f>IFERROR(VEND[[#This Row],[Fecha de Despacho]]-VEND[[#This Row],[Fecha Estimada de Entrega a  Cliente]],"")</f>
        <v/>
      </c>
      <c r="R65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5" s="128" t="str">
        <f>IF(VEND[[#This Row],[STATUS]]="O.C","APROBADO",IF(VEND[[#This Row],[STATUS]]="PERDIDO","PERDIDO",IF(VEND[[#This Row],[STATUS]]="EN ESPERA","EN ESPERA")))</f>
        <v>EN ESPERA</v>
      </c>
      <c r="T655" s="128" t="str">
        <f>IF(VEND[[#This Row],[STATUS]]="O.C","APROBADO",IF(VEND[[#This Row],[STATUS]]="PERDIDO","PERDIDO",IF(VEND[[#This Row],[STATUS]]="EN ESPERA","EN ESPERA")))</f>
        <v>EN ESPERA</v>
      </c>
      <c r="U655" s="112" t="s">
        <v>46</v>
      </c>
      <c r="V655" s="112" t="s">
        <v>46</v>
      </c>
      <c r="W655" s="112" t="s">
        <v>1404</v>
      </c>
      <c r="X655" s="128"/>
    </row>
    <row r="656" spans="2:24" ht="15.75" x14ac:dyDescent="0.25">
      <c r="B656" s="126">
        <v>44361</v>
      </c>
      <c r="C656" s="188" t="str">
        <f>TEXT(VEND[[#This Row],[Fecha de Envío
Cotización]],"mmmm")</f>
        <v>junio</v>
      </c>
      <c r="D656" s="66" t="s">
        <v>41</v>
      </c>
      <c r="E656" s="190" t="s">
        <v>88</v>
      </c>
      <c r="F656" s="125" t="str">
        <f>IF(VEND[[#This Row],[STATUS]]="PERDIDO","N/A","En espera")</f>
        <v>En espera</v>
      </c>
      <c r="G656" s="127" t="str">
        <f>TEXT(VEND[[#This Row],[Fecha Recibe
O.C]],"mmmm")</f>
        <v>En espera</v>
      </c>
      <c r="H656" s="128">
        <v>3547</v>
      </c>
      <c r="I656" s="112" t="s">
        <v>2072</v>
      </c>
      <c r="J656" s="128"/>
      <c r="K656" s="129">
        <v>2</v>
      </c>
      <c r="L656" s="189">
        <v>258.64</v>
      </c>
      <c r="M656" s="112" t="s">
        <v>926</v>
      </c>
      <c r="N656" s="112">
        <v>42</v>
      </c>
      <c r="O656" s="212" t="str">
        <f>IF(VEND[[#This Row],[STATUS]]="O.C",(VEND[[#This Row],[Fecha Recibe
O.C]]+VEND[[#This Row],[Dias
entrega ]]),"")</f>
        <v/>
      </c>
      <c r="P656" s="216"/>
      <c r="Q656" s="129" t="str">
        <f>IFERROR(VEND[[#This Row],[Fecha de Despacho]]-VEND[[#This Row],[Fecha Estimada de Entrega a  Cliente]],"")</f>
        <v/>
      </c>
      <c r="R65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6" s="128" t="str">
        <f>IF(VEND[[#This Row],[STATUS]]="O.C","APROBADO",IF(VEND[[#This Row],[STATUS]]="PERDIDO","PERDIDO",IF(VEND[[#This Row],[STATUS]]="EN ESPERA","EN ESPERA")))</f>
        <v>EN ESPERA</v>
      </c>
      <c r="T656" s="128" t="str">
        <f>IF(VEND[[#This Row],[STATUS]]="O.C","APROBADO",IF(VEND[[#This Row],[STATUS]]="PERDIDO","PERDIDO",IF(VEND[[#This Row],[STATUS]]="EN ESPERA","EN ESPERA")))</f>
        <v>EN ESPERA</v>
      </c>
      <c r="U656" s="112" t="s">
        <v>46</v>
      </c>
      <c r="V656" s="112" t="s">
        <v>46</v>
      </c>
      <c r="W656" s="112" t="s">
        <v>1401</v>
      </c>
      <c r="X656" s="128"/>
    </row>
    <row r="657" spans="1:24" ht="15.75" x14ac:dyDescent="0.25">
      <c r="B657" s="126">
        <v>44361</v>
      </c>
      <c r="C657" s="188" t="str">
        <f>TEXT(VEND[[#This Row],[Fecha de Envío
Cotización]],"mmmm")</f>
        <v>junio</v>
      </c>
      <c r="D657" s="66" t="s">
        <v>41</v>
      </c>
      <c r="E657" s="190" t="s">
        <v>83</v>
      </c>
      <c r="F657" s="125">
        <v>44362</v>
      </c>
      <c r="G657" s="127" t="str">
        <f>TEXT(VEND[[#This Row],[Fecha Recibe
O.C]],"mmmm")</f>
        <v>junio</v>
      </c>
      <c r="H657" s="128">
        <v>3548</v>
      </c>
      <c r="I657" s="112" t="s">
        <v>76</v>
      </c>
      <c r="J657" s="128"/>
      <c r="K657" s="129">
        <v>1</v>
      </c>
      <c r="L657" s="189">
        <v>179.7</v>
      </c>
      <c r="M657" s="112" t="s">
        <v>1571</v>
      </c>
      <c r="N657" s="112">
        <v>2</v>
      </c>
      <c r="O657" s="212">
        <f>IF(VEND[[#This Row],[STATUS]]="O.C",(VEND[[#This Row],[Fecha Recibe
O.C]]+VEND[[#This Row],[Dias
entrega ]]),"")</f>
        <v>44364</v>
      </c>
      <c r="P657" s="216"/>
      <c r="Q657" s="129">
        <f>IFERROR(VEND[[#This Row],[Fecha de Despacho]]-VEND[[#This Row],[Fecha Estimada de Entrega a  Cliente]],"")</f>
        <v>-44364</v>
      </c>
      <c r="R65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7" s="128" t="str">
        <f>IF(VEND[[#This Row],[STATUS]]="O.C","APROBADO",IF(VEND[[#This Row],[STATUS]]="PERDIDO","PERDIDO",IF(VEND[[#This Row],[STATUS]]="EN ESPERA","EN ESPERA")))</f>
        <v>APROBADO</v>
      </c>
      <c r="T657" s="128" t="str">
        <f>IF(VEND[[#This Row],[STATUS]]="O.C","APROBADO",IF(VEND[[#This Row],[STATUS]]="PERDIDO","PERDIDO",IF(VEND[[#This Row],[STATUS]]="EN ESPERA","EN ESPERA")))</f>
        <v>APROBADO</v>
      </c>
      <c r="U657" s="112" t="s">
        <v>46</v>
      </c>
      <c r="V657" s="112" t="s">
        <v>46</v>
      </c>
      <c r="W657" s="112" t="s">
        <v>1402</v>
      </c>
      <c r="X657" s="128"/>
    </row>
    <row r="658" spans="1:24" ht="15.75" x14ac:dyDescent="0.25">
      <c r="B658" s="126">
        <v>44361</v>
      </c>
      <c r="C658" s="188" t="str">
        <f>TEXT(VEND[[#This Row],[Fecha de Envío
Cotización]],"mmmm")</f>
        <v>junio</v>
      </c>
      <c r="D658" s="66" t="s">
        <v>68</v>
      </c>
      <c r="E658" s="190" t="s">
        <v>83</v>
      </c>
      <c r="F658" s="125">
        <v>44361</v>
      </c>
      <c r="G658" s="127" t="str">
        <f>TEXT(VEND[[#This Row],[Fecha Recibe
O.C]],"mmmm")</f>
        <v>junio</v>
      </c>
      <c r="H658" s="112" t="s">
        <v>1834</v>
      </c>
      <c r="I658" s="112" t="s">
        <v>2055</v>
      </c>
      <c r="J658" s="128"/>
      <c r="K658" s="129">
        <v>1</v>
      </c>
      <c r="L658" s="189">
        <v>35</v>
      </c>
      <c r="M658" s="112" t="s">
        <v>119</v>
      </c>
      <c r="N658" s="112">
        <v>0</v>
      </c>
      <c r="O658" s="212">
        <f>IF(VEND[[#This Row],[STATUS]]="O.C",(VEND[[#This Row],[Fecha Recibe
O.C]]+VEND[[#This Row],[Dias
entrega ]]),"")</f>
        <v>44361</v>
      </c>
      <c r="P658" s="216">
        <v>44361</v>
      </c>
      <c r="Q658" s="129">
        <f>IFERROR(VEND[[#This Row],[Fecha de Despacho]]-VEND[[#This Row],[Fecha Estimada de Entrega a  Cliente]],"")</f>
        <v>0</v>
      </c>
      <c r="R65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8" s="128" t="str">
        <f>IF(VEND[[#This Row],[STATUS]]="O.C","APROBADO",IF(VEND[[#This Row],[STATUS]]="PERDIDO","PERDIDO",IF(VEND[[#This Row],[STATUS]]="EN ESPERA","EN ESPERA")))</f>
        <v>APROBADO</v>
      </c>
      <c r="T658" s="128" t="str">
        <f>IF(VEND[[#This Row],[STATUS]]="O.C","APROBADO",IF(VEND[[#This Row],[STATUS]]="PERDIDO","PERDIDO",IF(VEND[[#This Row],[STATUS]]="EN ESPERA","EN ESPERA")))</f>
        <v>APROBADO</v>
      </c>
      <c r="U658" s="112" t="s">
        <v>45</v>
      </c>
      <c r="V658" s="112" t="s">
        <v>47</v>
      </c>
      <c r="W658" s="112" t="s">
        <v>1402</v>
      </c>
      <c r="X658" s="128"/>
    </row>
    <row r="659" spans="1:24" ht="15.75" x14ac:dyDescent="0.25">
      <c r="B659" s="237">
        <v>44362</v>
      </c>
      <c r="C659" s="188" t="str">
        <f>TEXT(VEND[[#This Row],[Fecha de Envío
Cotización]],"mmmm")</f>
        <v>junio</v>
      </c>
      <c r="D659" s="66" t="s">
        <v>1163</v>
      </c>
      <c r="E659" s="190" t="s">
        <v>83</v>
      </c>
      <c r="F659" s="125">
        <v>44371</v>
      </c>
      <c r="G659" s="127" t="str">
        <f>TEXT(VEND[[#This Row],[Fecha Recibe
O.C]],"mmmm")</f>
        <v>junio</v>
      </c>
      <c r="H659" s="128">
        <v>787</v>
      </c>
      <c r="I659" s="112" t="s">
        <v>1241</v>
      </c>
      <c r="J659" s="128"/>
      <c r="K659" s="129">
        <v>1</v>
      </c>
      <c r="L659" s="189">
        <v>4200</v>
      </c>
      <c r="M659" s="112" t="s">
        <v>36</v>
      </c>
      <c r="N659" s="112">
        <v>28</v>
      </c>
      <c r="O659" s="212">
        <f>IF(VEND[[#This Row],[STATUS]]="O.C",(VEND[[#This Row],[Fecha Recibe
O.C]]+VEND[[#This Row],[Dias
entrega ]]),"")</f>
        <v>44399</v>
      </c>
      <c r="P659" s="216"/>
      <c r="Q659" s="129">
        <f>IFERROR(VEND[[#This Row],[Fecha de Despacho]]-VEND[[#This Row],[Fecha Estimada de Entrega a  Cliente]],"")</f>
        <v>-44399</v>
      </c>
      <c r="R65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59" s="128" t="str">
        <f>IF(VEND[[#This Row],[STATUS]]="O.C","APROBADO",IF(VEND[[#This Row],[STATUS]]="PERDIDO","PERDIDO",IF(VEND[[#This Row],[STATUS]]="EN ESPERA","EN ESPERA")))</f>
        <v>APROBADO</v>
      </c>
      <c r="T659" s="128" t="str">
        <f>IF(VEND[[#This Row],[STATUS]]="O.C","APROBADO",IF(VEND[[#This Row],[STATUS]]="PERDIDO","PERDIDO",IF(VEND[[#This Row],[STATUS]]="EN ESPERA","EN ESPERA")))</f>
        <v>APROBADO</v>
      </c>
      <c r="U659" s="112" t="s">
        <v>46</v>
      </c>
      <c r="V659" s="112" t="s">
        <v>46</v>
      </c>
      <c r="W659" s="112" t="s">
        <v>1409</v>
      </c>
      <c r="X659" s="112" t="s">
        <v>2408</v>
      </c>
    </row>
    <row r="660" spans="1:24" ht="15.75" x14ac:dyDescent="0.25">
      <c r="B660" s="126">
        <v>44362</v>
      </c>
      <c r="C660" s="188" t="str">
        <f>TEXT(VEND[[#This Row],[Fecha de Envío
Cotización]],"mmmm")</f>
        <v>junio</v>
      </c>
      <c r="D660" s="66" t="s">
        <v>1163</v>
      </c>
      <c r="E660" s="190" t="s">
        <v>88</v>
      </c>
      <c r="F660" s="125" t="str">
        <f>IF(VEND[[#This Row],[STATUS]]="PERDIDO","N/A","En espera")</f>
        <v>En espera</v>
      </c>
      <c r="G660" s="127" t="str">
        <f>TEXT(VEND[[#This Row],[Fecha Recibe
O.C]],"mmmm")</f>
        <v>En espera</v>
      </c>
      <c r="H660" s="128">
        <v>788</v>
      </c>
      <c r="I660" s="112" t="s">
        <v>1241</v>
      </c>
      <c r="J660" s="128"/>
      <c r="K660" s="129">
        <v>8</v>
      </c>
      <c r="L660" s="189">
        <v>26353</v>
      </c>
      <c r="M660" s="128"/>
      <c r="N660" s="112"/>
      <c r="O660" s="212" t="str">
        <f>IF(VEND[[#This Row],[STATUS]]="O.C",(VEND[[#This Row],[Fecha Recibe
O.C]]+VEND[[#This Row],[Dias
entrega ]]),"")</f>
        <v/>
      </c>
      <c r="P660" s="216"/>
      <c r="Q660" s="129" t="str">
        <f>IFERROR(VEND[[#This Row],[Fecha de Despacho]]-VEND[[#This Row],[Fecha Estimada de Entrega a  Cliente]],"")</f>
        <v/>
      </c>
      <c r="R66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0" s="128" t="str">
        <f>IF(VEND[[#This Row],[STATUS]]="O.C","APROBADO",IF(VEND[[#This Row],[STATUS]]="PERDIDO","PERDIDO",IF(VEND[[#This Row],[STATUS]]="EN ESPERA","EN ESPERA")))</f>
        <v>EN ESPERA</v>
      </c>
      <c r="T660" s="128" t="str">
        <f>IF(VEND[[#This Row],[STATUS]]="O.C","APROBADO",IF(VEND[[#This Row],[STATUS]]="PERDIDO","PERDIDO",IF(VEND[[#This Row],[STATUS]]="EN ESPERA","EN ESPERA")))</f>
        <v>EN ESPERA</v>
      </c>
      <c r="U660" s="128"/>
      <c r="V660" s="128"/>
      <c r="W660" s="128"/>
      <c r="X660" s="128"/>
    </row>
    <row r="661" spans="1:24" ht="15.75" x14ac:dyDescent="0.25">
      <c r="B661" s="237">
        <v>44362</v>
      </c>
      <c r="C661" s="188" t="str">
        <f>TEXT(VEND[[#This Row],[Fecha de Envío
Cotización]],"mmmm")</f>
        <v>junio</v>
      </c>
      <c r="D661" s="66" t="s">
        <v>1163</v>
      </c>
      <c r="E661" s="190" t="s">
        <v>83</v>
      </c>
      <c r="F661" s="125">
        <v>44371</v>
      </c>
      <c r="G661" s="127" t="str">
        <f>TEXT(VEND[[#This Row],[Fecha Recibe
O.C]],"mmmm")</f>
        <v>junio</v>
      </c>
      <c r="H661" s="128">
        <v>789</v>
      </c>
      <c r="I661" s="112" t="s">
        <v>1241</v>
      </c>
      <c r="J661" s="128"/>
      <c r="K661" s="129">
        <v>1</v>
      </c>
      <c r="L661" s="189">
        <v>13200</v>
      </c>
      <c r="M661" s="112" t="s">
        <v>124</v>
      </c>
      <c r="N661" s="112">
        <v>35</v>
      </c>
      <c r="O661" s="212">
        <f>IF(VEND[[#This Row],[STATUS]]="O.C",(VEND[[#This Row],[Fecha Recibe
O.C]]+VEND[[#This Row],[Dias
entrega ]]),"")</f>
        <v>44406</v>
      </c>
      <c r="P661" s="216"/>
      <c r="Q661" s="129">
        <f>IFERROR(VEND[[#This Row],[Fecha de Despacho]]-VEND[[#This Row],[Fecha Estimada de Entrega a  Cliente]],"")</f>
        <v>-44406</v>
      </c>
      <c r="R66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1" s="128" t="str">
        <f>IF(VEND[[#This Row],[STATUS]]="O.C","APROBADO",IF(VEND[[#This Row],[STATUS]]="PERDIDO","PERDIDO",IF(VEND[[#This Row],[STATUS]]="EN ESPERA","EN ESPERA")))</f>
        <v>APROBADO</v>
      </c>
      <c r="T661" s="128" t="str">
        <f>IF(VEND[[#This Row],[STATUS]]="O.C","APROBADO",IF(VEND[[#This Row],[STATUS]]="PERDIDO","PERDIDO",IF(VEND[[#This Row],[STATUS]]="EN ESPERA","EN ESPERA")))</f>
        <v>APROBADO</v>
      </c>
      <c r="U661" s="112" t="s">
        <v>46</v>
      </c>
      <c r="V661" s="112" t="s">
        <v>46</v>
      </c>
      <c r="W661" s="112" t="s">
        <v>1409</v>
      </c>
      <c r="X661" s="128" t="s">
        <v>2409</v>
      </c>
    </row>
    <row r="662" spans="1:24" ht="15.75" x14ac:dyDescent="0.25">
      <c r="B662" s="71">
        <v>44362</v>
      </c>
      <c r="C662" s="195" t="str">
        <f>TEXT(VEND[[#This Row],[Fecha de Envío
Cotización]],"mmmm")</f>
        <v>junio</v>
      </c>
      <c r="D662" s="66" t="s">
        <v>945</v>
      </c>
      <c r="E662" s="190" t="s">
        <v>88</v>
      </c>
      <c r="F662" s="125" t="str">
        <f>IF(VEND[[#This Row],[STATUS]]="PERDIDO","N/A","En espera")</f>
        <v>En espera</v>
      </c>
      <c r="G662" s="93" t="str">
        <f>TEXT(VEND[[#This Row],[Fecha Recibe
O.C]],"mmmm")</f>
        <v>En espera</v>
      </c>
      <c r="H662" s="112">
        <v>791</v>
      </c>
      <c r="I662" s="112" t="s">
        <v>14</v>
      </c>
      <c r="J662" s="112"/>
      <c r="K662" s="58">
        <v>1</v>
      </c>
      <c r="L662" s="123">
        <v>489.79</v>
      </c>
      <c r="M662" s="112" t="s">
        <v>16</v>
      </c>
      <c r="N662" s="112">
        <v>21</v>
      </c>
      <c r="O662" s="212" t="str">
        <f>IF(VEND[[#This Row],[STATUS]]="O.C",(VEND[[#This Row],[Fecha Recibe
O.C]]+VEND[[#This Row],[Dias
entrega ]]),"")</f>
        <v/>
      </c>
      <c r="P662" s="212"/>
      <c r="Q662" s="58" t="str">
        <f>IFERROR(VEND[[#This Row],[Fecha de Despacho]]-VEND[[#This Row],[Fecha Estimada de Entrega a  Cliente]],"")</f>
        <v/>
      </c>
      <c r="R662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2" s="112" t="str">
        <f>IF(VEND[[#This Row],[STATUS]]="O.C","APROBADO",IF(VEND[[#This Row],[STATUS]]="PERDIDO","PERDIDO",IF(VEND[[#This Row],[STATUS]]="EN ESPERA","EN ESPERA")))</f>
        <v>EN ESPERA</v>
      </c>
      <c r="T662" s="112" t="str">
        <f>IF(VEND[[#This Row],[STATUS]]="O.C","APROBADO",IF(VEND[[#This Row],[STATUS]]="PERDIDO","PERDIDO",IF(VEND[[#This Row],[STATUS]]="EN ESPERA","EN ESPERA")))</f>
        <v>EN ESPERA</v>
      </c>
      <c r="U662" s="112" t="s">
        <v>46</v>
      </c>
      <c r="V662" s="112" t="s">
        <v>46</v>
      </c>
      <c r="W662" s="112" t="s">
        <v>1402</v>
      </c>
      <c r="X662" s="112"/>
    </row>
    <row r="663" spans="1:24" ht="15.75" x14ac:dyDescent="0.25">
      <c r="B663" s="126">
        <v>44362</v>
      </c>
      <c r="C663" s="188" t="str">
        <f>TEXT(VEND[[#This Row],[Fecha de Envío
Cotización]],"mmmm")</f>
        <v>junio</v>
      </c>
      <c r="D663" s="66" t="s">
        <v>1163</v>
      </c>
      <c r="E663" s="190" t="s">
        <v>88</v>
      </c>
      <c r="F663" s="125" t="str">
        <f>IF(VEND[[#This Row],[STATUS]]="PERDIDO","N/A","En espera")</f>
        <v>En espera</v>
      </c>
      <c r="G663" s="127" t="str">
        <f>TEXT(VEND[[#This Row],[Fecha Recibe
O.C]],"mmmm")</f>
        <v>En espera</v>
      </c>
      <c r="H663" s="128">
        <v>792</v>
      </c>
      <c r="I663" s="112" t="s">
        <v>1241</v>
      </c>
      <c r="J663" s="128"/>
      <c r="K663" s="129">
        <v>1</v>
      </c>
      <c r="L663" s="189">
        <v>18480</v>
      </c>
      <c r="M663" s="128"/>
      <c r="N663" s="112"/>
      <c r="O663" s="212" t="str">
        <f>IF(VEND[[#This Row],[STATUS]]="O.C",(VEND[[#This Row],[Fecha Recibe
O.C]]+VEND[[#This Row],[Dias
entrega ]]),"")</f>
        <v/>
      </c>
      <c r="P663" s="216"/>
      <c r="Q663" s="129" t="str">
        <f>IFERROR(VEND[[#This Row],[Fecha de Despacho]]-VEND[[#This Row],[Fecha Estimada de Entrega a  Cliente]],"")</f>
        <v/>
      </c>
      <c r="R66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3" s="128" t="str">
        <f>IF(VEND[[#This Row],[STATUS]]="O.C","APROBADO",IF(VEND[[#This Row],[STATUS]]="PERDIDO","PERDIDO",IF(VEND[[#This Row],[STATUS]]="EN ESPERA","EN ESPERA")))</f>
        <v>EN ESPERA</v>
      </c>
      <c r="T663" s="128" t="str">
        <f>IF(VEND[[#This Row],[STATUS]]="O.C","APROBADO",IF(VEND[[#This Row],[STATUS]]="PERDIDO","PERDIDO",IF(VEND[[#This Row],[STATUS]]="EN ESPERA","EN ESPERA")))</f>
        <v>EN ESPERA</v>
      </c>
      <c r="U663" s="128"/>
      <c r="V663" s="128"/>
      <c r="W663" s="128"/>
      <c r="X663" s="128"/>
    </row>
    <row r="664" spans="1:24" ht="15.75" x14ac:dyDescent="0.25">
      <c r="B664" s="71">
        <v>44362</v>
      </c>
      <c r="C664" s="195" t="str">
        <f>TEXT(VEND[[#This Row],[Fecha de Envío
Cotización]],"mmmm")</f>
        <v>junio</v>
      </c>
      <c r="D664" s="66" t="s">
        <v>68</v>
      </c>
      <c r="E664" s="190" t="s">
        <v>83</v>
      </c>
      <c r="F664" s="125">
        <v>44369</v>
      </c>
      <c r="G664" s="93" t="str">
        <f>TEXT(VEND[[#This Row],[Fecha Recibe
O.C]],"mmmm")</f>
        <v>junio</v>
      </c>
      <c r="H664" s="112">
        <v>794</v>
      </c>
      <c r="I664" s="112" t="s">
        <v>96</v>
      </c>
      <c r="J664" s="112"/>
      <c r="K664" s="58">
        <v>1</v>
      </c>
      <c r="L664" s="123">
        <v>3209.8</v>
      </c>
      <c r="M664" s="112" t="s">
        <v>16</v>
      </c>
      <c r="N664" s="112">
        <v>21</v>
      </c>
      <c r="O664" s="212">
        <f>IF(VEND[[#This Row],[STATUS]]="O.C",(VEND[[#This Row],[Fecha Recibe
O.C]]+VEND[[#This Row],[Dias
entrega ]]),"")</f>
        <v>44390</v>
      </c>
      <c r="P664" s="212"/>
      <c r="Q664" s="58">
        <f>IFERROR(VEND[[#This Row],[Fecha de Despacho]]-VEND[[#This Row],[Fecha Estimada de Entrega a  Cliente]],"")</f>
        <v>-44390</v>
      </c>
      <c r="R66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4" s="112" t="str">
        <f>IF(VEND[[#This Row],[STATUS]]="O.C","APROBADO",IF(VEND[[#This Row],[STATUS]]="PERDIDO","PERDIDO",IF(VEND[[#This Row],[STATUS]]="EN ESPERA","EN ESPERA")))</f>
        <v>APROBADO</v>
      </c>
      <c r="T664" s="112" t="str">
        <f>IF(VEND[[#This Row],[STATUS]]="O.C","APROBADO",IF(VEND[[#This Row],[STATUS]]="PERDIDO","PERDIDO",IF(VEND[[#This Row],[STATUS]]="EN ESPERA","EN ESPERA")))</f>
        <v>APROBADO</v>
      </c>
      <c r="U664" s="112" t="s">
        <v>46</v>
      </c>
      <c r="V664" s="112" t="s">
        <v>46</v>
      </c>
      <c r="W664" s="112" t="s">
        <v>1402</v>
      </c>
      <c r="X664" s="112">
        <v>4500306937</v>
      </c>
    </row>
    <row r="665" spans="1:24" ht="15.75" x14ac:dyDescent="0.25">
      <c r="B665" s="71">
        <v>44362</v>
      </c>
      <c r="C665" s="195" t="str">
        <f>TEXT(VEND[[#This Row],[Fecha de Envío
Cotización]],"mmmm")</f>
        <v>junio</v>
      </c>
      <c r="D665" s="66" t="s">
        <v>945</v>
      </c>
      <c r="E665" s="190" t="s">
        <v>83</v>
      </c>
      <c r="F665" s="125">
        <v>44369</v>
      </c>
      <c r="G665" s="93" t="str">
        <f>TEXT(VEND[[#This Row],[Fecha Recibe
O.C]],"mmmm")</f>
        <v>junio</v>
      </c>
      <c r="H665" s="112">
        <v>884</v>
      </c>
      <c r="I665" s="112" t="s">
        <v>320</v>
      </c>
      <c r="J665" s="112"/>
      <c r="K665" s="58">
        <v>6</v>
      </c>
      <c r="L665" s="123">
        <v>1273.8699999999999</v>
      </c>
      <c r="M665" s="112" t="s">
        <v>36</v>
      </c>
      <c r="N665" s="112">
        <v>28</v>
      </c>
      <c r="O665" s="212">
        <f>IF(VEND[[#This Row],[STATUS]]="O.C",(VEND[[#This Row],[Fecha Recibe
O.C]]+VEND[[#This Row],[Dias
entrega ]]),"")</f>
        <v>44397</v>
      </c>
      <c r="P665" s="212"/>
      <c r="Q665" s="58">
        <f>IFERROR(VEND[[#This Row],[Fecha de Despacho]]-VEND[[#This Row],[Fecha Estimada de Entrega a  Cliente]],"")</f>
        <v>-44397</v>
      </c>
      <c r="R665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5" s="112" t="str">
        <f>IF(VEND[[#This Row],[STATUS]]="O.C","APROBADO",IF(VEND[[#This Row],[STATUS]]="PERDIDO","PERDIDO",IF(VEND[[#This Row],[STATUS]]="EN ESPERA","EN ESPERA")))</f>
        <v>APROBADO</v>
      </c>
      <c r="T665" s="112" t="str">
        <f>IF(VEND[[#This Row],[STATUS]]="O.C","APROBADO",IF(VEND[[#This Row],[STATUS]]="PERDIDO","PERDIDO",IF(VEND[[#This Row],[STATUS]]="EN ESPERA","EN ESPERA")))</f>
        <v>APROBADO</v>
      </c>
      <c r="U665" s="112" t="s">
        <v>46</v>
      </c>
      <c r="V665" s="112" t="s">
        <v>46</v>
      </c>
      <c r="W665" s="112" t="s">
        <v>1405</v>
      </c>
      <c r="X665" s="112" t="s">
        <v>2543</v>
      </c>
    </row>
    <row r="666" spans="1:24" ht="15.75" x14ac:dyDescent="0.25">
      <c r="B666" s="71">
        <v>44362</v>
      </c>
      <c r="C666" s="195" t="str">
        <f>TEXT(VEND[[#This Row],[Fecha de Envío
Cotización]],"mmmm")</f>
        <v>junio</v>
      </c>
      <c r="D666" s="66" t="s">
        <v>41</v>
      </c>
      <c r="E666" s="190" t="s">
        <v>83</v>
      </c>
      <c r="F666" s="125">
        <v>44365</v>
      </c>
      <c r="G666" s="93" t="str">
        <f>TEXT(VEND[[#This Row],[Fecha Recibe
O.C]],"mmmm")</f>
        <v>junio</v>
      </c>
      <c r="H666" s="112">
        <v>3552</v>
      </c>
      <c r="I666" s="112" t="s">
        <v>76</v>
      </c>
      <c r="J666" s="112"/>
      <c r="K666" s="58">
        <v>1</v>
      </c>
      <c r="L666" s="123">
        <v>594.32000000000005</v>
      </c>
      <c r="M666" s="112" t="s">
        <v>77</v>
      </c>
      <c r="N666" s="112">
        <v>7</v>
      </c>
      <c r="O666" s="212">
        <f>IF(VEND[[#This Row],[STATUS]]="O.C",(VEND[[#This Row],[Fecha Recibe
O.C]]+VEND[[#This Row],[Dias
entrega ]]),"")</f>
        <v>44372</v>
      </c>
      <c r="P666" s="212"/>
      <c r="Q666" s="58">
        <f>IFERROR(VEND[[#This Row],[Fecha de Despacho]]-VEND[[#This Row],[Fecha Estimada de Entrega a  Cliente]],"")</f>
        <v>-44372</v>
      </c>
      <c r="R666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6" s="112" t="str">
        <f>IF(VEND[[#This Row],[STATUS]]="O.C","APROBADO",IF(VEND[[#This Row],[STATUS]]="PERDIDO","PERDIDO",IF(VEND[[#This Row],[STATUS]]="EN ESPERA","EN ESPERA")))</f>
        <v>APROBADO</v>
      </c>
      <c r="T666" s="112" t="str">
        <f>IF(VEND[[#This Row],[STATUS]]="O.C","APROBADO",IF(VEND[[#This Row],[STATUS]]="PERDIDO","PERDIDO",IF(VEND[[#This Row],[STATUS]]="EN ESPERA","EN ESPERA")))</f>
        <v>APROBADO</v>
      </c>
      <c r="U666" s="112" t="s">
        <v>46</v>
      </c>
      <c r="V666" s="112" t="s">
        <v>46</v>
      </c>
      <c r="W666" s="112" t="s">
        <v>1407</v>
      </c>
      <c r="X666" s="112" t="s">
        <v>2358</v>
      </c>
    </row>
    <row r="667" spans="1:24" ht="15.75" x14ac:dyDescent="0.25">
      <c r="B667" s="71">
        <v>44362</v>
      </c>
      <c r="C667" s="195" t="str">
        <f>TEXT(VEND[[#This Row],[Fecha de Envío
Cotización]],"mmmm")</f>
        <v>junio</v>
      </c>
      <c r="D667" s="66" t="s">
        <v>41</v>
      </c>
      <c r="E667" s="190" t="s">
        <v>83</v>
      </c>
      <c r="F667" s="125">
        <v>44362</v>
      </c>
      <c r="G667" s="93" t="str">
        <f>TEXT(VEND[[#This Row],[Fecha Recibe
O.C]],"mmmm")</f>
        <v>junio</v>
      </c>
      <c r="H667" s="112" t="s">
        <v>2177</v>
      </c>
      <c r="I667" s="112" t="s">
        <v>2178</v>
      </c>
      <c r="J667" s="112"/>
      <c r="K667" s="58">
        <v>3</v>
      </c>
      <c r="L667" s="123">
        <v>886.46</v>
      </c>
      <c r="M667" s="112" t="s">
        <v>16</v>
      </c>
      <c r="N667" s="112">
        <v>21</v>
      </c>
      <c r="O667" s="212">
        <f>IF(VEND[[#This Row],[STATUS]]="O.C",(VEND[[#This Row],[Fecha Recibe
O.C]]+VEND[[#This Row],[Dias
entrega ]]),"")</f>
        <v>44383</v>
      </c>
      <c r="P667" s="212"/>
      <c r="Q667" s="58">
        <f>IFERROR(VEND[[#This Row],[Fecha de Despacho]]-VEND[[#This Row],[Fecha Estimada de Entrega a  Cliente]],"")</f>
        <v>-44383</v>
      </c>
      <c r="R667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7" s="112" t="str">
        <f>IF(VEND[[#This Row],[STATUS]]="O.C","APROBADO",IF(VEND[[#This Row],[STATUS]]="PERDIDO","PERDIDO",IF(VEND[[#This Row],[STATUS]]="EN ESPERA","EN ESPERA")))</f>
        <v>APROBADO</v>
      </c>
      <c r="T667" s="112" t="str">
        <f>IF(VEND[[#This Row],[STATUS]]="O.C","APROBADO",IF(VEND[[#This Row],[STATUS]]="PERDIDO","PERDIDO",IF(VEND[[#This Row],[STATUS]]="EN ESPERA","EN ESPERA")))</f>
        <v>APROBADO</v>
      </c>
      <c r="U667" s="112" t="s">
        <v>46</v>
      </c>
      <c r="V667" s="112" t="s">
        <v>46</v>
      </c>
      <c r="W667" s="112" t="s">
        <v>1402</v>
      </c>
      <c r="X667" s="112"/>
    </row>
    <row r="668" spans="1:24" ht="15.75" x14ac:dyDescent="0.25">
      <c r="A668" t="s">
        <v>57</v>
      </c>
      <c r="B668" s="126">
        <v>44363</v>
      </c>
      <c r="C668" s="188" t="str">
        <f>TEXT(VEND[[#This Row],[Fecha de Envío
Cotización]],"mmmm")</f>
        <v>junio</v>
      </c>
      <c r="D668" s="66" t="s">
        <v>945</v>
      </c>
      <c r="E668" s="190" t="s">
        <v>88</v>
      </c>
      <c r="F668" s="125" t="str">
        <f>IF(VEND[[#This Row],[STATUS]]="PERDIDO","N/A","En espera")</f>
        <v>En espera</v>
      </c>
      <c r="G668" s="127" t="str">
        <f>TEXT(VEND[[#This Row],[Fecha Recibe
O.C]],"mmmm")</f>
        <v>En espera</v>
      </c>
      <c r="H668" s="128">
        <v>801</v>
      </c>
      <c r="I668" s="112" t="s">
        <v>59</v>
      </c>
      <c r="J668" s="128"/>
      <c r="K668" s="129">
        <v>17</v>
      </c>
      <c r="L668" s="189">
        <v>4515.5</v>
      </c>
      <c r="M668" s="112" t="s">
        <v>36</v>
      </c>
      <c r="N668" s="112">
        <v>28</v>
      </c>
      <c r="O668" s="212" t="str">
        <f>IF(VEND[[#This Row],[STATUS]]="O.C",(VEND[[#This Row],[Fecha Recibe
O.C]]+VEND[[#This Row],[Dias
entrega ]]),"")</f>
        <v/>
      </c>
      <c r="P668" s="216"/>
      <c r="Q668" s="129" t="str">
        <f>IFERROR(VEND[[#This Row],[Fecha de Despacho]]-VEND[[#This Row],[Fecha Estimada de Entrega a  Cliente]],"")</f>
        <v/>
      </c>
      <c r="R66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8" s="128" t="str">
        <f>IF(VEND[[#This Row],[STATUS]]="O.C","APROBADO",IF(VEND[[#This Row],[STATUS]]="PERDIDO","PERDIDO",IF(VEND[[#This Row],[STATUS]]="EN ESPERA","EN ESPERA")))</f>
        <v>EN ESPERA</v>
      </c>
      <c r="T668" s="128" t="str">
        <f>IF(VEND[[#This Row],[STATUS]]="O.C","APROBADO",IF(VEND[[#This Row],[STATUS]]="PERDIDO","PERDIDO",IF(VEND[[#This Row],[STATUS]]="EN ESPERA","EN ESPERA")))</f>
        <v>EN ESPERA</v>
      </c>
      <c r="U668" s="112" t="s">
        <v>46</v>
      </c>
      <c r="V668" s="112" t="s">
        <v>46</v>
      </c>
      <c r="W668" s="112" t="s">
        <v>1411</v>
      </c>
      <c r="X668" s="128"/>
    </row>
    <row r="669" spans="1:24" ht="15.75" x14ac:dyDescent="0.25">
      <c r="B669" s="126">
        <v>44363</v>
      </c>
      <c r="C669" s="188" t="str">
        <f>TEXT(VEND[[#This Row],[Fecha de Envío
Cotización]],"mmmm")</f>
        <v>junio</v>
      </c>
      <c r="D669" s="66" t="s">
        <v>945</v>
      </c>
      <c r="E669" s="190" t="s">
        <v>88</v>
      </c>
      <c r="F669" s="125" t="str">
        <f>IF(VEND[[#This Row],[STATUS]]="PERDIDO","N/A","En espera")</f>
        <v>En espera</v>
      </c>
      <c r="G669" s="127" t="str">
        <f>TEXT(VEND[[#This Row],[Fecha Recibe
O.C]],"mmmm")</f>
        <v>En espera</v>
      </c>
      <c r="H669" s="128">
        <v>802</v>
      </c>
      <c r="I669" s="112" t="s">
        <v>31</v>
      </c>
      <c r="J669" s="128"/>
      <c r="K669" s="129">
        <v>2</v>
      </c>
      <c r="L669" s="189">
        <v>142.56</v>
      </c>
      <c r="M669" s="112" t="s">
        <v>62</v>
      </c>
      <c r="N669" s="112">
        <v>3</v>
      </c>
      <c r="O669" s="212" t="str">
        <f>IF(VEND[[#This Row],[STATUS]]="O.C",(VEND[[#This Row],[Fecha Recibe
O.C]]+VEND[[#This Row],[Dias
entrega ]]),"")</f>
        <v/>
      </c>
      <c r="P669" s="216"/>
      <c r="Q669" s="129" t="str">
        <f>IFERROR(VEND[[#This Row],[Fecha de Despacho]]-VEND[[#This Row],[Fecha Estimada de Entrega a  Cliente]],"")</f>
        <v/>
      </c>
      <c r="R66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69" s="128" t="str">
        <f>IF(VEND[[#This Row],[STATUS]]="O.C","APROBADO",IF(VEND[[#This Row],[STATUS]]="PERDIDO","PERDIDO",IF(VEND[[#This Row],[STATUS]]="EN ESPERA","EN ESPERA")))</f>
        <v>EN ESPERA</v>
      </c>
      <c r="T669" s="128" t="str">
        <f>IF(VEND[[#This Row],[STATUS]]="O.C","APROBADO",IF(VEND[[#This Row],[STATUS]]="PERDIDO","PERDIDO",IF(VEND[[#This Row],[STATUS]]="EN ESPERA","EN ESPERA")))</f>
        <v>EN ESPERA</v>
      </c>
      <c r="U669" s="112" t="s">
        <v>46</v>
      </c>
      <c r="V669" s="112" t="s">
        <v>46</v>
      </c>
      <c r="W669" s="112" t="s">
        <v>1410</v>
      </c>
      <c r="X669" s="128"/>
    </row>
    <row r="670" spans="1:24" ht="15.75" x14ac:dyDescent="0.25">
      <c r="B670" s="126">
        <v>44363</v>
      </c>
      <c r="C670" s="188" t="str">
        <f>TEXT(VEND[[#This Row],[Fecha de Envío
Cotización]],"mmmm")</f>
        <v>junio</v>
      </c>
      <c r="D670" s="66" t="s">
        <v>50</v>
      </c>
      <c r="E670" s="190" t="s">
        <v>88</v>
      </c>
      <c r="F670" s="125" t="str">
        <f>IF(VEND[[#This Row],[STATUS]]="PERDIDO","N/A","En espera")</f>
        <v>En espera</v>
      </c>
      <c r="G670" s="127" t="str">
        <f>TEXT(VEND[[#This Row],[Fecha Recibe
O.C]],"mmmm")</f>
        <v>En espera</v>
      </c>
      <c r="H670" s="128">
        <v>803</v>
      </c>
      <c r="I670" s="112" t="s">
        <v>33</v>
      </c>
      <c r="J670" s="128"/>
      <c r="K670" s="129">
        <v>2</v>
      </c>
      <c r="L670" s="189">
        <v>7742.98</v>
      </c>
      <c r="M670" s="112" t="s">
        <v>36</v>
      </c>
      <c r="N670" s="112">
        <v>28</v>
      </c>
      <c r="O670" s="212" t="str">
        <f>IF(VEND[[#This Row],[STATUS]]="O.C",(VEND[[#This Row],[Fecha Recibe
O.C]]+VEND[[#This Row],[Dias
entrega ]]),"")</f>
        <v/>
      </c>
      <c r="P670" s="216"/>
      <c r="Q670" s="129" t="str">
        <f>IFERROR(VEND[[#This Row],[Fecha de Despacho]]-VEND[[#This Row],[Fecha Estimada de Entrega a  Cliente]],"")</f>
        <v/>
      </c>
      <c r="R67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0" s="128" t="str">
        <f>IF(VEND[[#This Row],[STATUS]]="O.C","APROBADO",IF(VEND[[#This Row],[STATUS]]="PERDIDO","PERDIDO",IF(VEND[[#This Row],[STATUS]]="EN ESPERA","EN ESPERA")))</f>
        <v>EN ESPERA</v>
      </c>
      <c r="T670" s="128" t="str">
        <f>IF(VEND[[#This Row],[STATUS]]="O.C","APROBADO",IF(VEND[[#This Row],[STATUS]]="PERDIDO","PERDIDO",IF(VEND[[#This Row],[STATUS]]="EN ESPERA","EN ESPERA")))</f>
        <v>EN ESPERA</v>
      </c>
      <c r="U670" s="112" t="s">
        <v>46</v>
      </c>
      <c r="V670" s="112" t="s">
        <v>46</v>
      </c>
      <c r="W670" s="112" t="s">
        <v>1402</v>
      </c>
      <c r="X670" s="128"/>
    </row>
    <row r="671" spans="1:24" ht="15.75" x14ac:dyDescent="0.25">
      <c r="B671" s="126">
        <v>44363</v>
      </c>
      <c r="C671" s="188" t="str">
        <f>TEXT(VEND[[#This Row],[Fecha de Envío
Cotización]],"mmmm")</f>
        <v>junio</v>
      </c>
      <c r="D671" s="66" t="s">
        <v>68</v>
      </c>
      <c r="E671" s="190" t="s">
        <v>88</v>
      </c>
      <c r="F671" s="125" t="str">
        <f>IF(VEND[[#This Row],[STATUS]]="PERDIDO","N/A","En espera")</f>
        <v>En espera</v>
      </c>
      <c r="G671" s="127" t="str">
        <f>TEXT(VEND[[#This Row],[Fecha Recibe
O.C]],"mmmm")</f>
        <v>En espera</v>
      </c>
      <c r="H671" s="128">
        <v>805</v>
      </c>
      <c r="I671" s="112" t="s">
        <v>91</v>
      </c>
      <c r="J671" s="128"/>
      <c r="K671" s="129">
        <v>2</v>
      </c>
      <c r="L671" s="189">
        <v>327.7</v>
      </c>
      <c r="M671" s="112" t="s">
        <v>73</v>
      </c>
      <c r="N671" s="112">
        <v>14</v>
      </c>
      <c r="O671" s="212" t="str">
        <f>IF(VEND[[#This Row],[STATUS]]="O.C",(VEND[[#This Row],[Fecha Recibe
O.C]]+VEND[[#This Row],[Dias
entrega ]]),"")</f>
        <v/>
      </c>
      <c r="P671" s="216"/>
      <c r="Q671" s="129" t="str">
        <f>IFERROR(VEND[[#This Row],[Fecha de Despacho]]-VEND[[#This Row],[Fecha Estimada de Entrega a  Cliente]],"")</f>
        <v/>
      </c>
      <c r="R67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1" s="128" t="str">
        <f>IF(VEND[[#This Row],[STATUS]]="O.C","APROBADO",IF(VEND[[#This Row],[STATUS]]="PERDIDO","PERDIDO",IF(VEND[[#This Row],[STATUS]]="EN ESPERA","EN ESPERA")))</f>
        <v>EN ESPERA</v>
      </c>
      <c r="T671" s="128" t="str">
        <f>IF(VEND[[#This Row],[STATUS]]="O.C","APROBADO",IF(VEND[[#This Row],[STATUS]]="PERDIDO","PERDIDO",IF(VEND[[#This Row],[STATUS]]="EN ESPERA","EN ESPERA")))</f>
        <v>EN ESPERA</v>
      </c>
      <c r="U671" s="112" t="s">
        <v>46</v>
      </c>
      <c r="V671" s="112" t="s">
        <v>46</v>
      </c>
      <c r="W671" s="112" t="s">
        <v>1401</v>
      </c>
      <c r="X671" s="128"/>
    </row>
    <row r="672" spans="1:24" ht="15.75" x14ac:dyDescent="0.25">
      <c r="B672" s="126">
        <v>44363</v>
      </c>
      <c r="C672" s="188" t="str">
        <f>TEXT(VEND[[#This Row],[Fecha de Envío
Cotización]],"mmmm")</f>
        <v>junio</v>
      </c>
      <c r="D672" s="66" t="s">
        <v>41</v>
      </c>
      <c r="E672" s="190" t="s">
        <v>88</v>
      </c>
      <c r="F672" s="125" t="str">
        <f>IF(VEND[[#This Row],[STATUS]]="PERDIDO","N/A","En espera")</f>
        <v>En espera</v>
      </c>
      <c r="G672" s="127" t="str">
        <f>TEXT(VEND[[#This Row],[Fecha Recibe
O.C]],"mmmm")</f>
        <v>En espera</v>
      </c>
      <c r="H672" s="128">
        <v>3550</v>
      </c>
      <c r="I672" s="112" t="s">
        <v>2245</v>
      </c>
      <c r="J672" s="128"/>
      <c r="K672" s="129">
        <v>1</v>
      </c>
      <c r="L672" s="189">
        <v>350.75</v>
      </c>
      <c r="M672" s="112" t="s">
        <v>73</v>
      </c>
      <c r="N672" s="112">
        <v>14</v>
      </c>
      <c r="O672" s="212" t="str">
        <f>IF(VEND[[#This Row],[STATUS]]="O.C",(VEND[[#This Row],[Fecha Recibe
O.C]]+VEND[[#This Row],[Dias
entrega ]]),"")</f>
        <v/>
      </c>
      <c r="P672" s="216"/>
      <c r="Q672" s="129" t="str">
        <f>IFERROR(VEND[[#This Row],[Fecha de Despacho]]-VEND[[#This Row],[Fecha Estimada de Entrega a  Cliente]],"")</f>
        <v/>
      </c>
      <c r="R67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2" s="128" t="str">
        <f>IF(VEND[[#This Row],[STATUS]]="O.C","APROBADO",IF(VEND[[#This Row],[STATUS]]="PERDIDO","PERDIDO",IF(VEND[[#This Row],[STATUS]]="EN ESPERA","EN ESPERA")))</f>
        <v>EN ESPERA</v>
      </c>
      <c r="T672" s="128" t="str">
        <f>IF(VEND[[#This Row],[STATUS]]="O.C","APROBADO",IF(VEND[[#This Row],[STATUS]]="PERDIDO","PERDIDO",IF(VEND[[#This Row],[STATUS]]="EN ESPERA","EN ESPERA")))</f>
        <v>EN ESPERA</v>
      </c>
      <c r="U672" s="112" t="s">
        <v>46</v>
      </c>
      <c r="V672" s="112" t="s">
        <v>46</v>
      </c>
      <c r="W672" s="112" t="s">
        <v>1402</v>
      </c>
      <c r="X672" s="128"/>
    </row>
    <row r="673" spans="2:24" s="105" customFormat="1" ht="15.75" x14ac:dyDescent="0.25">
      <c r="B673" s="126">
        <v>44363</v>
      </c>
      <c r="C673" s="188" t="str">
        <f>TEXT(VEND[[#This Row],[Fecha de Envío
Cotización]],"mmmm")</f>
        <v>junio</v>
      </c>
      <c r="D673" s="66" t="s">
        <v>945</v>
      </c>
      <c r="E673" s="190" t="s">
        <v>83</v>
      </c>
      <c r="F673" s="125">
        <v>44375</v>
      </c>
      <c r="G673" s="127" t="str">
        <f>TEXT(VEND[[#This Row],[Fecha Recibe
O.C]],"mmmm")</f>
        <v>junio</v>
      </c>
      <c r="H673" s="128">
        <v>62596</v>
      </c>
      <c r="I673" s="112" t="s">
        <v>130</v>
      </c>
      <c r="J673" s="128"/>
      <c r="K673" s="129">
        <v>8</v>
      </c>
      <c r="L673" s="189">
        <v>201.2</v>
      </c>
      <c r="M673" s="112" t="s">
        <v>36</v>
      </c>
      <c r="N673" s="112">
        <v>28</v>
      </c>
      <c r="O673" s="212">
        <f>IF(VEND[[#This Row],[STATUS]]="O.C",(VEND[[#This Row],[Fecha Recibe
O.C]]+VEND[[#This Row],[Dias
entrega ]]),"")</f>
        <v>44403</v>
      </c>
      <c r="P673" s="216"/>
      <c r="Q673" s="129">
        <f>IFERROR(VEND[[#This Row],[Fecha de Despacho]]-VEND[[#This Row],[Fecha Estimada de Entrega a  Cliente]],"")</f>
        <v>-44403</v>
      </c>
      <c r="R67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3" s="128" t="str">
        <f>IF(VEND[[#This Row],[STATUS]]="O.C","APROBADO",IF(VEND[[#This Row],[STATUS]]="PERDIDO","PERDIDO",IF(VEND[[#This Row],[STATUS]]="EN ESPERA","EN ESPERA")))</f>
        <v>APROBADO</v>
      </c>
      <c r="T673" s="128" t="str">
        <f>IF(VEND[[#This Row],[STATUS]]="O.C","APROBADO",IF(VEND[[#This Row],[STATUS]]="PERDIDO","PERDIDO",IF(VEND[[#This Row],[STATUS]]="EN ESPERA","EN ESPERA")))</f>
        <v>APROBADO</v>
      </c>
      <c r="U673" s="112" t="s">
        <v>46</v>
      </c>
      <c r="V673" s="112" t="s">
        <v>46</v>
      </c>
      <c r="W673" s="112" t="s">
        <v>1409</v>
      </c>
      <c r="X673" s="112" t="s">
        <v>2494</v>
      </c>
    </row>
    <row r="674" spans="2:24" ht="15.75" x14ac:dyDescent="0.25">
      <c r="B674" s="71">
        <v>44364</v>
      </c>
      <c r="C674" s="195" t="str">
        <f>TEXT(VEND[[#This Row],[Fecha de Envío
Cotización]],"mmmm")</f>
        <v>junio</v>
      </c>
      <c r="D674" s="66" t="s">
        <v>50</v>
      </c>
      <c r="E674" s="190" t="s">
        <v>88</v>
      </c>
      <c r="F674" s="125" t="str">
        <f>IF(VEND[[#This Row],[STATUS]]="PERDIDO","N/A","En espera")</f>
        <v>En espera</v>
      </c>
      <c r="G674" s="127" t="str">
        <f>TEXT(VEND[[#This Row],[Fecha Recibe
O.C]],"mmmm")</f>
        <v>En espera</v>
      </c>
      <c r="H674" s="112">
        <v>806</v>
      </c>
      <c r="I674" s="112" t="s">
        <v>33</v>
      </c>
      <c r="J674" s="112"/>
      <c r="K674" s="58">
        <v>1</v>
      </c>
      <c r="L674" s="123">
        <v>15498.34</v>
      </c>
      <c r="M674" s="112" t="s">
        <v>124</v>
      </c>
      <c r="N674" s="112">
        <v>35</v>
      </c>
      <c r="O674" s="212" t="str">
        <f>IF(VEND[[#This Row],[STATUS]]="O.C",(VEND[[#This Row],[Fecha Recibe
O.C]]+VEND[[#This Row],[Dias
entrega ]]),"")</f>
        <v/>
      </c>
      <c r="P674" s="212"/>
      <c r="Q674" s="58" t="str">
        <f>IFERROR(VEND[[#This Row],[Fecha de Despacho]]-VEND[[#This Row],[Fecha Estimada de Entrega a  Cliente]],"")</f>
        <v/>
      </c>
      <c r="R67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4" s="112" t="str">
        <f>IF(VEND[[#This Row],[STATUS]]="O.C","APROBADO",IF(VEND[[#This Row],[STATUS]]="PERDIDO","PERDIDO",IF(VEND[[#This Row],[STATUS]]="EN ESPERA","EN ESPERA")))</f>
        <v>EN ESPERA</v>
      </c>
      <c r="T674" s="112" t="str">
        <f>IF(VEND[[#This Row],[STATUS]]="O.C","APROBADO",IF(VEND[[#This Row],[STATUS]]="PERDIDO","PERDIDO",IF(VEND[[#This Row],[STATUS]]="EN ESPERA","EN ESPERA")))</f>
        <v>EN ESPERA</v>
      </c>
      <c r="U674" s="112" t="s">
        <v>46</v>
      </c>
      <c r="V674" s="112" t="s">
        <v>46</v>
      </c>
      <c r="W674" s="112" t="s">
        <v>1402</v>
      </c>
      <c r="X674" s="112"/>
    </row>
    <row r="675" spans="2:24" ht="15.75" x14ac:dyDescent="0.25">
      <c r="B675" s="71">
        <v>44364</v>
      </c>
      <c r="C675" s="195" t="str">
        <f>TEXT(VEND[[#This Row],[Fecha de Envío
Cotización]],"mmmm")</f>
        <v>junio</v>
      </c>
      <c r="D675" s="66" t="s">
        <v>945</v>
      </c>
      <c r="E675" s="190" t="s">
        <v>88</v>
      </c>
      <c r="F675" s="125" t="str">
        <f>IF(VEND[[#This Row],[STATUS]]="PERDIDO","N/A","En espera")</f>
        <v>En espera</v>
      </c>
      <c r="G675" s="93" t="str">
        <f>TEXT(VEND[[#This Row],[Fecha Recibe
O.C]],"mmmm")</f>
        <v>En espera</v>
      </c>
      <c r="H675" s="112">
        <v>807</v>
      </c>
      <c r="I675" s="112" t="s">
        <v>31</v>
      </c>
      <c r="J675" s="112"/>
      <c r="K675" s="58">
        <v>1</v>
      </c>
      <c r="L675" s="123">
        <v>99.4</v>
      </c>
      <c r="M675" s="112" t="s">
        <v>62</v>
      </c>
      <c r="N675" s="112">
        <v>3</v>
      </c>
      <c r="O675" s="212" t="str">
        <f>IF(VEND[[#This Row],[STATUS]]="O.C",(VEND[[#This Row],[Fecha Recibe
O.C]]+VEND[[#This Row],[Dias
entrega ]]),"")</f>
        <v/>
      </c>
      <c r="P675" s="212"/>
      <c r="Q675" s="58" t="str">
        <f>IFERROR(VEND[[#This Row],[Fecha de Despacho]]-VEND[[#This Row],[Fecha Estimada de Entrega a  Cliente]],"")</f>
        <v/>
      </c>
      <c r="R675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5" s="112" t="str">
        <f>IF(VEND[[#This Row],[STATUS]]="O.C","APROBADO",IF(VEND[[#This Row],[STATUS]]="PERDIDO","PERDIDO",IF(VEND[[#This Row],[STATUS]]="EN ESPERA","EN ESPERA")))</f>
        <v>EN ESPERA</v>
      </c>
      <c r="T675" s="112" t="str">
        <f>IF(VEND[[#This Row],[STATUS]]="O.C","APROBADO",IF(VEND[[#This Row],[STATUS]]="PERDIDO","PERDIDO",IF(VEND[[#This Row],[STATUS]]="EN ESPERA","EN ESPERA")))</f>
        <v>EN ESPERA</v>
      </c>
      <c r="U675" s="112" t="s">
        <v>46</v>
      </c>
      <c r="V675" s="112" t="s">
        <v>46</v>
      </c>
      <c r="W675" s="112" t="s">
        <v>1410</v>
      </c>
      <c r="X675" s="112"/>
    </row>
    <row r="676" spans="2:24" ht="15.75" x14ac:dyDescent="0.25">
      <c r="B676" s="71">
        <v>44364</v>
      </c>
      <c r="C676" s="195" t="str">
        <f>TEXT(VEND[[#This Row],[Fecha de Envío
Cotización]],"mmmm")</f>
        <v>junio</v>
      </c>
      <c r="D676" s="66" t="s">
        <v>945</v>
      </c>
      <c r="E676" s="190" t="s">
        <v>88</v>
      </c>
      <c r="F676" s="125" t="str">
        <f>IF(VEND[[#This Row],[STATUS]]="PERDIDO","N/A","En espera")</f>
        <v>En espera</v>
      </c>
      <c r="G676" s="93" t="str">
        <f>TEXT(VEND[[#This Row],[Fecha Recibe
O.C]],"mmmm")</f>
        <v>En espera</v>
      </c>
      <c r="H676" s="112">
        <v>808</v>
      </c>
      <c r="I676" s="112" t="s">
        <v>130</v>
      </c>
      <c r="J676" s="112"/>
      <c r="K676" s="58">
        <v>1</v>
      </c>
      <c r="L676" s="123">
        <v>53.02</v>
      </c>
      <c r="M676" s="112" t="s">
        <v>62</v>
      </c>
      <c r="N676" s="112">
        <v>3</v>
      </c>
      <c r="O676" s="212" t="str">
        <f>IF(VEND[[#This Row],[STATUS]]="O.C",(VEND[[#This Row],[Fecha Recibe
O.C]]+VEND[[#This Row],[Dias
entrega ]]),"")</f>
        <v/>
      </c>
      <c r="P676" s="212"/>
      <c r="Q676" s="58" t="str">
        <f>IFERROR(VEND[[#This Row],[Fecha de Despacho]]-VEND[[#This Row],[Fecha Estimada de Entrega a  Cliente]],"")</f>
        <v/>
      </c>
      <c r="R676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6" s="112" t="str">
        <f>IF(VEND[[#This Row],[STATUS]]="O.C","APROBADO",IF(VEND[[#This Row],[STATUS]]="PERDIDO","PERDIDO",IF(VEND[[#This Row],[STATUS]]="EN ESPERA","EN ESPERA")))</f>
        <v>EN ESPERA</v>
      </c>
      <c r="T676" s="112" t="str">
        <f>IF(VEND[[#This Row],[STATUS]]="O.C","APROBADO",IF(VEND[[#This Row],[STATUS]]="PERDIDO","PERDIDO",IF(VEND[[#This Row],[STATUS]]="EN ESPERA","EN ESPERA")))</f>
        <v>EN ESPERA</v>
      </c>
      <c r="U676" s="112" t="s">
        <v>46</v>
      </c>
      <c r="V676" s="112" t="s">
        <v>46</v>
      </c>
      <c r="W676" s="112" t="s">
        <v>1402</v>
      </c>
      <c r="X676" s="112"/>
    </row>
    <row r="677" spans="2:24" ht="15.75" x14ac:dyDescent="0.25">
      <c r="B677" s="71">
        <v>44364</v>
      </c>
      <c r="C677" s="195" t="str">
        <f>TEXT(VEND[[#This Row],[Fecha de Envío
Cotización]],"mmmm")</f>
        <v>junio</v>
      </c>
      <c r="D677" s="66" t="s">
        <v>50</v>
      </c>
      <c r="E677" s="190" t="s">
        <v>88</v>
      </c>
      <c r="F677" s="125" t="str">
        <f>IF(VEND[[#This Row],[STATUS]]="PERDIDO","N/A","En espera")</f>
        <v>En espera</v>
      </c>
      <c r="G677" s="93" t="str">
        <f>TEXT(VEND[[#This Row],[Fecha Recibe
O.C]],"mmmm")</f>
        <v>En espera</v>
      </c>
      <c r="H677" s="112">
        <v>810</v>
      </c>
      <c r="I677" s="112" t="s">
        <v>33</v>
      </c>
      <c r="J677" s="112"/>
      <c r="K677" s="58">
        <v>1</v>
      </c>
      <c r="L677" s="123">
        <v>480.17</v>
      </c>
      <c r="M677" s="112" t="s">
        <v>36</v>
      </c>
      <c r="N677" s="112">
        <v>28</v>
      </c>
      <c r="O677" s="212" t="str">
        <f>IF(VEND[[#This Row],[STATUS]]="O.C",(VEND[[#This Row],[Fecha Recibe
O.C]]+VEND[[#This Row],[Dias
entrega ]]),"")</f>
        <v/>
      </c>
      <c r="P677" s="212"/>
      <c r="Q677" s="58" t="str">
        <f>IFERROR(VEND[[#This Row],[Fecha de Despacho]]-VEND[[#This Row],[Fecha Estimada de Entrega a  Cliente]],"")</f>
        <v/>
      </c>
      <c r="R677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7" s="112" t="str">
        <f>IF(VEND[[#This Row],[STATUS]]="O.C","APROBADO",IF(VEND[[#This Row],[STATUS]]="PERDIDO","PERDIDO",IF(VEND[[#This Row],[STATUS]]="EN ESPERA","EN ESPERA")))</f>
        <v>EN ESPERA</v>
      </c>
      <c r="T677" s="112" t="str">
        <f>IF(VEND[[#This Row],[STATUS]]="O.C","APROBADO",IF(VEND[[#This Row],[STATUS]]="PERDIDO","PERDIDO",IF(VEND[[#This Row],[STATUS]]="EN ESPERA","EN ESPERA")))</f>
        <v>EN ESPERA</v>
      </c>
      <c r="U677" s="112" t="s">
        <v>46</v>
      </c>
      <c r="V677" s="112" t="s">
        <v>46</v>
      </c>
      <c r="W677" s="112" t="s">
        <v>1402</v>
      </c>
      <c r="X677" s="112"/>
    </row>
    <row r="678" spans="2:24" s="16" customFormat="1" ht="15.75" x14ac:dyDescent="0.25">
      <c r="B678" s="71">
        <v>44364</v>
      </c>
      <c r="C678" s="195" t="str">
        <f>TEXT(VEND[[#This Row],[Fecha de Envío
Cotización]],"mmmm")</f>
        <v>junio</v>
      </c>
      <c r="D678" s="66" t="s">
        <v>50</v>
      </c>
      <c r="E678" s="190" t="s">
        <v>88</v>
      </c>
      <c r="F678" s="125" t="str">
        <f>IF(VEND[[#This Row],[STATUS]]="PERDIDO","N/A","En espera")</f>
        <v>En espera</v>
      </c>
      <c r="G678" s="93" t="str">
        <f>TEXT(VEND[[#This Row],[Fecha Recibe
O.C]],"mmmm")</f>
        <v>En espera</v>
      </c>
      <c r="H678" s="112">
        <v>812</v>
      </c>
      <c r="I678" s="112" t="s">
        <v>283</v>
      </c>
      <c r="J678" s="112"/>
      <c r="K678" s="58">
        <v>1</v>
      </c>
      <c r="L678" s="123">
        <v>1157.74</v>
      </c>
      <c r="M678" s="112" t="s">
        <v>16</v>
      </c>
      <c r="N678" s="112">
        <v>21</v>
      </c>
      <c r="O678" s="212" t="str">
        <f>IF(VEND[[#This Row],[STATUS]]="O.C",(VEND[[#This Row],[Fecha Recibe
O.C]]+VEND[[#This Row],[Dias
entrega ]]),"")</f>
        <v/>
      </c>
      <c r="P678" s="212"/>
      <c r="Q678" s="58" t="str">
        <f>IFERROR(VEND[[#This Row],[Fecha de Despacho]]-VEND[[#This Row],[Fecha Estimada de Entrega a  Cliente]],"")</f>
        <v/>
      </c>
      <c r="R678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8" s="112" t="str">
        <f>IF(VEND[[#This Row],[STATUS]]="O.C","APROBADO",IF(VEND[[#This Row],[STATUS]]="PERDIDO","PERDIDO",IF(VEND[[#This Row],[STATUS]]="EN ESPERA","EN ESPERA")))</f>
        <v>EN ESPERA</v>
      </c>
      <c r="T678" s="112" t="str">
        <f>IF(VEND[[#This Row],[STATUS]]="O.C","APROBADO",IF(VEND[[#This Row],[STATUS]]="PERDIDO","PERDIDO",IF(VEND[[#This Row],[STATUS]]="EN ESPERA","EN ESPERA")))</f>
        <v>EN ESPERA</v>
      </c>
      <c r="U678" s="112" t="s">
        <v>46</v>
      </c>
      <c r="V678" s="112" t="s">
        <v>46</v>
      </c>
      <c r="W678" s="112" t="s">
        <v>1404</v>
      </c>
      <c r="X678" s="112"/>
    </row>
    <row r="679" spans="2:24" ht="15.75" x14ac:dyDescent="0.25">
      <c r="B679" s="71">
        <v>44364</v>
      </c>
      <c r="C679" s="195" t="str">
        <f>TEXT(VEND[[#This Row],[Fecha de Envío
Cotización]],"mmmm")</f>
        <v>junio</v>
      </c>
      <c r="D679" s="66" t="s">
        <v>50</v>
      </c>
      <c r="E679" s="190" t="s">
        <v>88</v>
      </c>
      <c r="F679" s="125" t="str">
        <f>IF(VEND[[#This Row],[STATUS]]="PERDIDO","N/A","En espera")</f>
        <v>En espera</v>
      </c>
      <c r="G679" s="93" t="str">
        <f>TEXT(VEND[[#This Row],[Fecha Recibe
O.C]],"mmmm")</f>
        <v>En espera</v>
      </c>
      <c r="H679" s="112">
        <v>813</v>
      </c>
      <c r="I679" s="112" t="s">
        <v>283</v>
      </c>
      <c r="J679" s="112"/>
      <c r="K679" s="58">
        <v>1</v>
      </c>
      <c r="L679" s="123">
        <v>1949.6</v>
      </c>
      <c r="M679" s="112" t="s">
        <v>36</v>
      </c>
      <c r="N679" s="112">
        <v>28</v>
      </c>
      <c r="O679" s="212" t="str">
        <f>IF(VEND[[#This Row],[STATUS]]="O.C",(VEND[[#This Row],[Fecha Recibe
O.C]]+VEND[[#This Row],[Dias
entrega ]]),"")</f>
        <v/>
      </c>
      <c r="P679" s="212"/>
      <c r="Q679" s="58" t="str">
        <f>IFERROR(VEND[[#This Row],[Fecha de Despacho]]-VEND[[#This Row],[Fecha Estimada de Entrega a  Cliente]],"")</f>
        <v/>
      </c>
      <c r="R679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79" s="112" t="str">
        <f>IF(VEND[[#This Row],[STATUS]]="O.C","APROBADO",IF(VEND[[#This Row],[STATUS]]="PERDIDO","PERDIDO",IF(VEND[[#This Row],[STATUS]]="EN ESPERA","EN ESPERA")))</f>
        <v>EN ESPERA</v>
      </c>
      <c r="T679" s="112" t="str">
        <f>IF(VEND[[#This Row],[STATUS]]="O.C","APROBADO",IF(VEND[[#This Row],[STATUS]]="PERDIDO","PERDIDO",IF(VEND[[#This Row],[STATUS]]="EN ESPERA","EN ESPERA")))</f>
        <v>EN ESPERA</v>
      </c>
      <c r="U679" s="112" t="s">
        <v>46</v>
      </c>
      <c r="V679" s="112" t="s">
        <v>46</v>
      </c>
      <c r="W679" s="112" t="s">
        <v>1925</v>
      </c>
      <c r="X679" s="112"/>
    </row>
    <row r="680" spans="2:24" ht="15.75" x14ac:dyDescent="0.25">
      <c r="B680" s="71">
        <v>44364</v>
      </c>
      <c r="C680" s="195" t="str">
        <f>TEXT(VEND[[#This Row],[Fecha de Envío
Cotización]],"mmmm")</f>
        <v>junio</v>
      </c>
      <c r="D680" s="66" t="s">
        <v>945</v>
      </c>
      <c r="E680" s="190" t="s">
        <v>42</v>
      </c>
      <c r="F680" s="125" t="str">
        <f>IF(VEND[[#This Row],[STATUS]]="PERDIDO","N/A","En espera")</f>
        <v>N/A</v>
      </c>
      <c r="G680" s="93" t="str">
        <f>TEXT(VEND[[#This Row],[Fecha Recibe
O.C]],"mmmm")</f>
        <v>N/A</v>
      </c>
      <c r="H680" s="112">
        <v>817</v>
      </c>
      <c r="I680" s="112" t="s">
        <v>1546</v>
      </c>
      <c r="J680" s="112"/>
      <c r="K680" s="58">
        <v>1</v>
      </c>
      <c r="L680" s="123">
        <v>70080</v>
      </c>
      <c r="M680" s="112" t="s">
        <v>1553</v>
      </c>
      <c r="N680" s="112">
        <v>45</v>
      </c>
      <c r="O680" s="212" t="str">
        <f>IF(VEND[[#This Row],[STATUS]]="O.C",(VEND[[#This Row],[Fecha Recibe
O.C]]+VEND[[#This Row],[Dias
entrega ]]),"")</f>
        <v/>
      </c>
      <c r="P680" s="212"/>
      <c r="Q680" s="58" t="str">
        <f>IFERROR(VEND[[#This Row],[Fecha de Despacho]]-VEND[[#This Row],[Fecha Estimada de Entrega a  Cliente]],"")</f>
        <v/>
      </c>
      <c r="R680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0" s="112" t="str">
        <f>IF(VEND[[#This Row],[STATUS]]="O.C","APROBADO",IF(VEND[[#This Row],[STATUS]]="PERDIDO","PERDIDO",IF(VEND[[#This Row],[STATUS]]="EN ESPERA","EN ESPERA")))</f>
        <v>PERDIDO</v>
      </c>
      <c r="T680" s="112" t="str">
        <f>IF(VEND[[#This Row],[STATUS]]="O.C","APROBADO",IF(VEND[[#This Row],[STATUS]]="PERDIDO","PERDIDO",IF(VEND[[#This Row],[STATUS]]="EN ESPERA","EN ESPERA")))</f>
        <v>PERDIDO</v>
      </c>
      <c r="U680" s="112" t="s">
        <v>46</v>
      </c>
      <c r="V680" s="112" t="s">
        <v>46</v>
      </c>
      <c r="W680" s="112" t="s">
        <v>1402</v>
      </c>
      <c r="X680" s="112"/>
    </row>
    <row r="681" spans="2:24" s="105" customFormat="1" ht="31.5" x14ac:dyDescent="0.25">
      <c r="B681" s="223">
        <v>44365</v>
      </c>
      <c r="C681" s="224" t="str">
        <f>TEXT(VEND[[#This Row],[Fecha de Envío
Cotización]],"mmmm")</f>
        <v>junio</v>
      </c>
      <c r="D681" s="7" t="s">
        <v>68</v>
      </c>
      <c r="E681" s="225" t="s">
        <v>83</v>
      </c>
      <c r="F681" s="97">
        <v>44368</v>
      </c>
      <c r="G681" s="226" t="str">
        <f>TEXT(VEND[[#This Row],[Fecha Recibe
O.C]],"mmmm")</f>
        <v>junio</v>
      </c>
      <c r="H681" s="227">
        <v>796</v>
      </c>
      <c r="I681" s="238" t="s">
        <v>2302</v>
      </c>
      <c r="J681" s="227"/>
      <c r="K681" s="228">
        <v>5</v>
      </c>
      <c r="L681" s="229">
        <v>2574.58</v>
      </c>
      <c r="M681" s="238" t="s">
        <v>16</v>
      </c>
      <c r="N681" s="238">
        <v>21</v>
      </c>
      <c r="O681" s="213">
        <f>IF(VEND[[#This Row],[STATUS]]="O.C",(VEND[[#This Row],[Fecha Recibe
O.C]]+VEND[[#This Row],[Dias
entrega ]]),"")</f>
        <v>44389</v>
      </c>
      <c r="P681" s="230"/>
      <c r="Q681" s="228">
        <f>IFERROR(VEND[[#This Row],[Fecha de Despacho]]-VEND[[#This Row],[Fecha Estimada de Entrega a  Cliente]],"")</f>
        <v>-44389</v>
      </c>
      <c r="R681" s="22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1" s="227" t="str">
        <f>IF(VEND[[#This Row],[STATUS]]="O.C","APROBADO",IF(VEND[[#This Row],[STATUS]]="PERDIDO","PERDIDO",IF(VEND[[#This Row],[STATUS]]="EN ESPERA","EN ESPERA")))</f>
        <v>APROBADO</v>
      </c>
      <c r="T681" s="227" t="str">
        <f>IF(VEND[[#This Row],[STATUS]]="O.C","APROBADO",IF(VEND[[#This Row],[STATUS]]="PERDIDO","PERDIDO",IF(VEND[[#This Row],[STATUS]]="EN ESPERA","EN ESPERA")))</f>
        <v>APROBADO</v>
      </c>
      <c r="U681" s="238" t="s">
        <v>46</v>
      </c>
      <c r="V681" s="238" t="s">
        <v>46</v>
      </c>
      <c r="W681" s="238" t="s">
        <v>1401</v>
      </c>
      <c r="X681" s="63" t="s">
        <v>2301</v>
      </c>
    </row>
    <row r="682" spans="2:24" s="105" customFormat="1" ht="15.75" x14ac:dyDescent="0.25">
      <c r="B682" s="71">
        <v>44365</v>
      </c>
      <c r="C682" s="195" t="str">
        <f>TEXT(VEND[[#This Row],[Fecha de Envío
Cotización]],"mmmm")</f>
        <v>junio</v>
      </c>
      <c r="D682" s="66" t="s">
        <v>68</v>
      </c>
      <c r="E682" s="190" t="s">
        <v>88</v>
      </c>
      <c r="F682" s="125" t="str">
        <f>IF(VEND[[#This Row],[STATUS]]="PERDIDO","N/A","En espera")</f>
        <v>En espera</v>
      </c>
      <c r="G682" s="93" t="str">
        <f>TEXT(VEND[[#This Row],[Fecha Recibe
O.C]],"mmmm")</f>
        <v>En espera</v>
      </c>
      <c r="H682" s="112">
        <v>818</v>
      </c>
      <c r="I682" s="112" t="s">
        <v>96</v>
      </c>
      <c r="J682" s="112"/>
      <c r="K682" s="58">
        <v>1</v>
      </c>
      <c r="L682" s="123">
        <v>2007.21</v>
      </c>
      <c r="M682" s="112" t="s">
        <v>16</v>
      </c>
      <c r="N682" s="112">
        <v>21</v>
      </c>
      <c r="O682" s="212" t="str">
        <f>IF(VEND[[#This Row],[STATUS]]="O.C",(VEND[[#This Row],[Fecha Recibe
O.C]]+VEND[[#This Row],[Dias
entrega ]]),"")</f>
        <v/>
      </c>
      <c r="P682" s="212"/>
      <c r="Q682" s="58" t="str">
        <f>IFERROR(VEND[[#This Row],[Fecha de Despacho]]-VEND[[#This Row],[Fecha Estimada de Entrega a  Cliente]],"")</f>
        <v/>
      </c>
      <c r="R682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2" s="112" t="str">
        <f>IF(VEND[[#This Row],[STATUS]]="O.C","APROBADO",IF(VEND[[#This Row],[STATUS]]="PERDIDO","PERDIDO",IF(VEND[[#This Row],[STATUS]]="EN ESPERA","EN ESPERA")))</f>
        <v>EN ESPERA</v>
      </c>
      <c r="T682" s="112" t="str">
        <f>IF(VEND[[#This Row],[STATUS]]="O.C","APROBADO",IF(VEND[[#This Row],[STATUS]]="PERDIDO","PERDIDO",IF(VEND[[#This Row],[STATUS]]="EN ESPERA","EN ESPERA")))</f>
        <v>EN ESPERA</v>
      </c>
      <c r="U682" s="112" t="s">
        <v>46</v>
      </c>
      <c r="V682" s="112" t="s">
        <v>46</v>
      </c>
      <c r="W682" s="112" t="s">
        <v>1402</v>
      </c>
      <c r="X682" s="112"/>
    </row>
    <row r="683" spans="2:24" ht="15.75" x14ac:dyDescent="0.25">
      <c r="B683" s="71">
        <v>44365</v>
      </c>
      <c r="C683" s="195" t="str">
        <f>TEXT(VEND[[#This Row],[Fecha de Envío
Cotización]],"mmmm")</f>
        <v>junio</v>
      </c>
      <c r="D683" s="66" t="s">
        <v>945</v>
      </c>
      <c r="E683" s="190" t="s">
        <v>88</v>
      </c>
      <c r="F683" s="125" t="str">
        <f>IF(VEND[[#This Row],[STATUS]]="PERDIDO","N/A","En espera")</f>
        <v>En espera</v>
      </c>
      <c r="G683" s="93" t="str">
        <f>TEXT(VEND[[#This Row],[Fecha Recibe
O.C]],"mmmm")</f>
        <v>En espera</v>
      </c>
      <c r="H683" s="112">
        <v>825</v>
      </c>
      <c r="I683" s="112" t="s">
        <v>1417</v>
      </c>
      <c r="J683" s="112"/>
      <c r="K683" s="58">
        <v>1</v>
      </c>
      <c r="L683" s="123">
        <v>1436.06</v>
      </c>
      <c r="M683" s="112" t="s">
        <v>16</v>
      </c>
      <c r="N683" s="112">
        <v>21</v>
      </c>
      <c r="O683" s="212" t="str">
        <f>IF(VEND[[#This Row],[STATUS]]="O.C",(VEND[[#This Row],[Fecha Recibe
O.C]]+VEND[[#This Row],[Dias
entrega ]]),"")</f>
        <v/>
      </c>
      <c r="P683" s="212"/>
      <c r="Q683" s="58" t="str">
        <f>IFERROR(VEND[[#This Row],[Fecha de Despacho]]-VEND[[#This Row],[Fecha Estimada de Entrega a  Cliente]],"")</f>
        <v/>
      </c>
      <c r="R68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3" s="112" t="str">
        <f>IF(VEND[[#This Row],[STATUS]]="O.C","APROBADO",IF(VEND[[#This Row],[STATUS]]="PERDIDO","PERDIDO",IF(VEND[[#This Row],[STATUS]]="EN ESPERA","EN ESPERA")))</f>
        <v>EN ESPERA</v>
      </c>
      <c r="T683" s="112" t="str">
        <f>IF(VEND[[#This Row],[STATUS]]="O.C","APROBADO",IF(VEND[[#This Row],[STATUS]]="PERDIDO","PERDIDO",IF(VEND[[#This Row],[STATUS]]="EN ESPERA","EN ESPERA")))</f>
        <v>EN ESPERA</v>
      </c>
      <c r="U683" s="112" t="s">
        <v>46</v>
      </c>
      <c r="V683" s="112" t="s">
        <v>46</v>
      </c>
      <c r="W683" s="112" t="s">
        <v>1402</v>
      </c>
      <c r="X683" s="112"/>
    </row>
    <row r="684" spans="2:24" ht="15.75" x14ac:dyDescent="0.25">
      <c r="B684" s="126">
        <v>44365</v>
      </c>
      <c r="C684" s="188" t="str">
        <f>TEXT(VEND[[#This Row],[Fecha de Envío
Cotización]],"mmmm")</f>
        <v>junio</v>
      </c>
      <c r="D684" s="66" t="s">
        <v>1163</v>
      </c>
      <c r="E684" s="190" t="s">
        <v>88</v>
      </c>
      <c r="F684" s="125" t="str">
        <f>IF(VEND[[#This Row],[STATUS]]="PERDIDO","N/A","En espera")</f>
        <v>En espera</v>
      </c>
      <c r="G684" s="127" t="str">
        <f>TEXT(VEND[[#This Row],[Fecha Recibe
O.C]],"mmmm")</f>
        <v>En espera</v>
      </c>
      <c r="H684" s="128">
        <v>826</v>
      </c>
      <c r="I684" s="112" t="s">
        <v>1241</v>
      </c>
      <c r="J684" s="128"/>
      <c r="K684" s="129">
        <v>1</v>
      </c>
      <c r="L684" s="189">
        <v>1504.52</v>
      </c>
      <c r="M684" s="128"/>
      <c r="N684" s="112"/>
      <c r="O684" s="212" t="str">
        <f>IF(VEND[[#This Row],[STATUS]]="O.C",(VEND[[#This Row],[Fecha Recibe
O.C]]+VEND[[#This Row],[Dias
entrega ]]),"")</f>
        <v/>
      </c>
      <c r="P684" s="216"/>
      <c r="Q684" s="129" t="str">
        <f>IFERROR(VEND[[#This Row],[Fecha de Despacho]]-VEND[[#This Row],[Fecha Estimada de Entrega a  Cliente]],"")</f>
        <v/>
      </c>
      <c r="R68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4" s="128" t="str">
        <f>IF(VEND[[#This Row],[STATUS]]="O.C","APROBADO",IF(VEND[[#This Row],[STATUS]]="PERDIDO","PERDIDO",IF(VEND[[#This Row],[STATUS]]="EN ESPERA","EN ESPERA")))</f>
        <v>EN ESPERA</v>
      </c>
      <c r="T684" s="128" t="str">
        <f>IF(VEND[[#This Row],[STATUS]]="O.C","APROBADO",IF(VEND[[#This Row],[STATUS]]="PERDIDO","PERDIDO",IF(VEND[[#This Row],[STATUS]]="EN ESPERA","EN ESPERA")))</f>
        <v>EN ESPERA</v>
      </c>
      <c r="U684" s="112" t="s">
        <v>46</v>
      </c>
      <c r="V684" s="112" t="s">
        <v>46</v>
      </c>
      <c r="W684" s="112" t="s">
        <v>1409</v>
      </c>
      <c r="X684" s="128"/>
    </row>
    <row r="685" spans="2:24" ht="15.75" x14ac:dyDescent="0.25">
      <c r="B685" s="71">
        <v>44365</v>
      </c>
      <c r="C685" s="195" t="str">
        <f>TEXT(VEND[[#This Row],[Fecha de Envío
Cotización]],"mmmm")</f>
        <v>junio</v>
      </c>
      <c r="D685" s="66" t="s">
        <v>68</v>
      </c>
      <c r="E685" s="190" t="s">
        <v>83</v>
      </c>
      <c r="F685" s="125">
        <v>44368</v>
      </c>
      <c r="G685" s="93" t="str">
        <f>TEXT(VEND[[#This Row],[Fecha Recibe
O.C]],"mmmm")</f>
        <v>junio</v>
      </c>
      <c r="H685" s="112">
        <v>827</v>
      </c>
      <c r="I685" s="112" t="s">
        <v>122</v>
      </c>
      <c r="J685" s="112"/>
      <c r="K685" s="58">
        <v>1</v>
      </c>
      <c r="L685" s="123">
        <v>2340</v>
      </c>
      <c r="M685" s="112" t="s">
        <v>119</v>
      </c>
      <c r="N685" s="112">
        <v>0</v>
      </c>
      <c r="O685" s="212">
        <f>IF(VEND[[#This Row],[STATUS]]="O.C",(VEND[[#This Row],[Fecha Recibe
O.C]]+VEND[[#This Row],[Dias
entrega ]]),"")</f>
        <v>44368</v>
      </c>
      <c r="P685" s="212"/>
      <c r="Q685" s="58">
        <f>IFERROR(VEND[[#This Row],[Fecha de Despacho]]-VEND[[#This Row],[Fecha Estimada de Entrega a  Cliente]],"")</f>
        <v>-44368</v>
      </c>
      <c r="R685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5" s="112" t="str">
        <f>IF(VEND[[#This Row],[STATUS]]="O.C","APROBADO",IF(VEND[[#This Row],[STATUS]]="PERDIDO","PERDIDO",IF(VEND[[#This Row],[STATUS]]="EN ESPERA","EN ESPERA")))</f>
        <v>APROBADO</v>
      </c>
      <c r="T685" s="112" t="str">
        <f>IF(VEND[[#This Row],[STATUS]]="O.C","APROBADO",IF(VEND[[#This Row],[STATUS]]="PERDIDO","PERDIDO",IF(VEND[[#This Row],[STATUS]]="EN ESPERA","EN ESPERA")))</f>
        <v>APROBADO</v>
      </c>
      <c r="U685" s="112" t="s">
        <v>46</v>
      </c>
      <c r="V685" s="112" t="s">
        <v>46</v>
      </c>
      <c r="W685" s="112" t="s">
        <v>1402</v>
      </c>
      <c r="X685" s="112"/>
    </row>
    <row r="686" spans="2:24" ht="15.75" x14ac:dyDescent="0.25">
      <c r="B686" s="126">
        <v>44365</v>
      </c>
      <c r="C686" s="188" t="str">
        <f>TEXT(VEND[[#This Row],[Fecha de Envío
Cotización]],"mmmm")</f>
        <v>junio</v>
      </c>
      <c r="D686" s="66" t="s">
        <v>1163</v>
      </c>
      <c r="E686" s="190" t="s">
        <v>88</v>
      </c>
      <c r="F686" s="125" t="str">
        <f>IF(VEND[[#This Row],[STATUS]]="PERDIDO","N/A","En espera")</f>
        <v>En espera</v>
      </c>
      <c r="G686" s="127" t="str">
        <f>TEXT(VEND[[#This Row],[Fecha Recibe
O.C]],"mmmm")</f>
        <v>En espera</v>
      </c>
      <c r="H686" s="128">
        <v>828</v>
      </c>
      <c r="I686" s="112" t="s">
        <v>1241</v>
      </c>
      <c r="J686" s="128"/>
      <c r="K686" s="129">
        <v>1</v>
      </c>
      <c r="L686" s="189">
        <v>3458.04</v>
      </c>
      <c r="M686" s="128"/>
      <c r="N686" s="112"/>
      <c r="O686" s="212" t="str">
        <f>IF(VEND[[#This Row],[STATUS]]="O.C",(VEND[[#This Row],[Fecha Recibe
O.C]]+VEND[[#This Row],[Dias
entrega ]]),"")</f>
        <v/>
      </c>
      <c r="P686" s="216"/>
      <c r="Q686" s="129" t="str">
        <f>IFERROR(VEND[[#This Row],[Fecha de Despacho]]-VEND[[#This Row],[Fecha Estimada de Entrega a  Cliente]],"")</f>
        <v/>
      </c>
      <c r="R68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6" s="128" t="str">
        <f>IF(VEND[[#This Row],[STATUS]]="O.C","APROBADO",IF(VEND[[#This Row],[STATUS]]="PERDIDO","PERDIDO",IF(VEND[[#This Row],[STATUS]]="EN ESPERA","EN ESPERA")))</f>
        <v>EN ESPERA</v>
      </c>
      <c r="T686" s="128" t="str">
        <f>IF(VEND[[#This Row],[STATUS]]="O.C","APROBADO",IF(VEND[[#This Row],[STATUS]]="PERDIDO","PERDIDO",IF(VEND[[#This Row],[STATUS]]="EN ESPERA","EN ESPERA")))</f>
        <v>EN ESPERA</v>
      </c>
      <c r="U686" s="112" t="s">
        <v>46</v>
      </c>
      <c r="V686" s="112" t="s">
        <v>46</v>
      </c>
      <c r="W686" s="112" t="s">
        <v>1409</v>
      </c>
      <c r="X686" s="128"/>
    </row>
    <row r="687" spans="2:24" ht="15.75" x14ac:dyDescent="0.25">
      <c r="B687" s="126">
        <v>44365</v>
      </c>
      <c r="C687" s="188" t="str">
        <f>TEXT(VEND[[#This Row],[Fecha de Envío
Cotización]],"mmmm")</f>
        <v>junio</v>
      </c>
      <c r="D687" s="66" t="s">
        <v>1163</v>
      </c>
      <c r="E687" s="190" t="s">
        <v>88</v>
      </c>
      <c r="F687" s="125" t="str">
        <f>IF(VEND[[#This Row],[STATUS]]="PERDIDO","N/A","En espera")</f>
        <v>En espera</v>
      </c>
      <c r="G687" s="127" t="str">
        <f>TEXT(VEND[[#This Row],[Fecha Recibe
O.C]],"mmmm")</f>
        <v>En espera</v>
      </c>
      <c r="H687" s="128">
        <v>829</v>
      </c>
      <c r="I687" s="112" t="s">
        <v>1241</v>
      </c>
      <c r="J687" s="128"/>
      <c r="K687" s="129">
        <v>1</v>
      </c>
      <c r="L687" s="189">
        <v>2559.96</v>
      </c>
      <c r="M687" s="128"/>
      <c r="N687" s="112"/>
      <c r="O687" s="212" t="str">
        <f>IF(VEND[[#This Row],[STATUS]]="O.C",(VEND[[#This Row],[Fecha Recibe
O.C]]+VEND[[#This Row],[Dias
entrega ]]),"")</f>
        <v/>
      </c>
      <c r="P687" s="216"/>
      <c r="Q687" s="129" t="str">
        <f>IFERROR(VEND[[#This Row],[Fecha de Despacho]]-VEND[[#This Row],[Fecha Estimada de Entrega a  Cliente]],"")</f>
        <v/>
      </c>
      <c r="R68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7" s="128" t="str">
        <f>IF(VEND[[#This Row],[STATUS]]="O.C","APROBADO",IF(VEND[[#This Row],[STATUS]]="PERDIDO","PERDIDO",IF(VEND[[#This Row],[STATUS]]="EN ESPERA","EN ESPERA")))</f>
        <v>EN ESPERA</v>
      </c>
      <c r="T687" s="128" t="str">
        <f>IF(VEND[[#This Row],[STATUS]]="O.C","APROBADO",IF(VEND[[#This Row],[STATUS]]="PERDIDO","PERDIDO",IF(VEND[[#This Row],[STATUS]]="EN ESPERA","EN ESPERA")))</f>
        <v>EN ESPERA</v>
      </c>
      <c r="U687" s="112" t="s">
        <v>46</v>
      </c>
      <c r="V687" s="112" t="s">
        <v>46</v>
      </c>
      <c r="W687" s="112" t="s">
        <v>1409</v>
      </c>
      <c r="X687" s="128"/>
    </row>
    <row r="688" spans="2:24" ht="15.75" x14ac:dyDescent="0.25">
      <c r="B688" s="126">
        <v>44365</v>
      </c>
      <c r="C688" s="188" t="str">
        <f>TEXT(VEND[[#This Row],[Fecha de Envío
Cotización]],"mmmm")</f>
        <v>junio</v>
      </c>
      <c r="D688" s="66" t="s">
        <v>1163</v>
      </c>
      <c r="E688" s="190" t="s">
        <v>88</v>
      </c>
      <c r="F688" s="125" t="str">
        <f>IF(VEND[[#This Row],[STATUS]]="PERDIDO","N/A","En espera")</f>
        <v>En espera</v>
      </c>
      <c r="G688" s="127" t="str">
        <f>TEXT(VEND[[#This Row],[Fecha Recibe
O.C]],"mmmm")</f>
        <v>En espera</v>
      </c>
      <c r="H688" s="128">
        <v>830</v>
      </c>
      <c r="I688" s="112" t="s">
        <v>1241</v>
      </c>
      <c r="J688" s="128"/>
      <c r="K688" s="129">
        <v>1</v>
      </c>
      <c r="L688" s="189">
        <v>1298.56</v>
      </c>
      <c r="M688" s="128"/>
      <c r="N688" s="112"/>
      <c r="O688" s="212" t="str">
        <f>IF(VEND[[#This Row],[STATUS]]="O.C",(VEND[[#This Row],[Fecha Recibe
O.C]]+VEND[[#This Row],[Dias
entrega ]]),"")</f>
        <v/>
      </c>
      <c r="P688" s="216"/>
      <c r="Q688" s="129" t="str">
        <f>IFERROR(VEND[[#This Row],[Fecha de Despacho]]-VEND[[#This Row],[Fecha Estimada de Entrega a  Cliente]],"")</f>
        <v/>
      </c>
      <c r="R68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8" s="128" t="str">
        <f>IF(VEND[[#This Row],[STATUS]]="O.C","APROBADO",IF(VEND[[#This Row],[STATUS]]="PERDIDO","PERDIDO",IF(VEND[[#This Row],[STATUS]]="EN ESPERA","EN ESPERA")))</f>
        <v>EN ESPERA</v>
      </c>
      <c r="T688" s="128" t="str">
        <f>IF(VEND[[#This Row],[STATUS]]="O.C","APROBADO",IF(VEND[[#This Row],[STATUS]]="PERDIDO","PERDIDO",IF(VEND[[#This Row],[STATUS]]="EN ESPERA","EN ESPERA")))</f>
        <v>EN ESPERA</v>
      </c>
      <c r="U688" s="112" t="s">
        <v>46</v>
      </c>
      <c r="V688" s="112" t="s">
        <v>46</v>
      </c>
      <c r="W688" s="112" t="s">
        <v>1409</v>
      </c>
      <c r="X688" s="128"/>
    </row>
    <row r="689" spans="2:24" ht="15.75" x14ac:dyDescent="0.25">
      <c r="B689" s="126">
        <v>44365</v>
      </c>
      <c r="C689" s="188" t="str">
        <f>TEXT(VEND[[#This Row],[Fecha de Envío
Cotización]],"mmmm")</f>
        <v>junio</v>
      </c>
      <c r="D689" s="66" t="s">
        <v>1163</v>
      </c>
      <c r="E689" s="190" t="s">
        <v>88</v>
      </c>
      <c r="F689" s="125" t="str">
        <f>IF(VEND[[#This Row],[STATUS]]="PERDIDO","N/A","En espera")</f>
        <v>En espera</v>
      </c>
      <c r="G689" s="127" t="str">
        <f>TEXT(VEND[[#This Row],[Fecha Recibe
O.C]],"mmmm")</f>
        <v>En espera</v>
      </c>
      <c r="H689" s="128">
        <v>832</v>
      </c>
      <c r="I689" s="112" t="s">
        <v>1241</v>
      </c>
      <c r="J689" s="128"/>
      <c r="K689" s="129">
        <v>1</v>
      </c>
      <c r="L689" s="189">
        <v>3240</v>
      </c>
      <c r="M689" s="128"/>
      <c r="N689" s="112"/>
      <c r="O689" s="212" t="str">
        <f>IF(VEND[[#This Row],[STATUS]]="O.C",(VEND[[#This Row],[Fecha Recibe
O.C]]+VEND[[#This Row],[Dias
entrega ]]),"")</f>
        <v/>
      </c>
      <c r="P689" s="216"/>
      <c r="Q689" s="129" t="str">
        <f>IFERROR(VEND[[#This Row],[Fecha de Despacho]]-VEND[[#This Row],[Fecha Estimada de Entrega a  Cliente]],"")</f>
        <v/>
      </c>
      <c r="R68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89" s="128" t="str">
        <f>IF(VEND[[#This Row],[STATUS]]="O.C","APROBADO",IF(VEND[[#This Row],[STATUS]]="PERDIDO","PERDIDO",IF(VEND[[#This Row],[STATUS]]="EN ESPERA","EN ESPERA")))</f>
        <v>EN ESPERA</v>
      </c>
      <c r="T689" s="128" t="str">
        <f>IF(VEND[[#This Row],[STATUS]]="O.C","APROBADO",IF(VEND[[#This Row],[STATUS]]="PERDIDO","PERDIDO",IF(VEND[[#This Row],[STATUS]]="EN ESPERA","EN ESPERA")))</f>
        <v>EN ESPERA</v>
      </c>
      <c r="U689" s="112" t="s">
        <v>46</v>
      </c>
      <c r="V689" s="112" t="s">
        <v>46</v>
      </c>
      <c r="W689" s="112" t="s">
        <v>1409</v>
      </c>
      <c r="X689" s="128"/>
    </row>
    <row r="690" spans="2:24" ht="15.75" x14ac:dyDescent="0.25">
      <c r="B690" s="232">
        <v>44365</v>
      </c>
      <c r="C690" s="195" t="str">
        <f>TEXT(VEND[[#This Row],[Fecha de Envío
Cotización]],"mmmm")</f>
        <v>junio</v>
      </c>
      <c r="D690" s="66" t="s">
        <v>1163</v>
      </c>
      <c r="E690" s="190" t="s">
        <v>83</v>
      </c>
      <c r="F690" s="93">
        <v>44365</v>
      </c>
      <c r="G690" s="93" t="str">
        <f>TEXT(VEND[[#This Row],[Fecha Recibe
O.C]],"mmmm")</f>
        <v>junio</v>
      </c>
      <c r="H690" s="112">
        <v>4543</v>
      </c>
      <c r="I690" s="112" t="s">
        <v>1241</v>
      </c>
      <c r="J690" s="112"/>
      <c r="K690" s="58">
        <v>1</v>
      </c>
      <c r="L690" s="123">
        <v>1302.5999999999999</v>
      </c>
      <c r="M690" s="112" t="s">
        <v>16</v>
      </c>
      <c r="N690" s="112">
        <v>21</v>
      </c>
      <c r="O690" s="212">
        <f>IF(VEND[[#This Row],[STATUS]]="O.C",(VEND[[#This Row],[Fecha Recibe
O.C]]+VEND[[#This Row],[Dias
entrega ]]),"")</f>
        <v>44386</v>
      </c>
      <c r="P690" s="212"/>
      <c r="Q690" s="58">
        <f>IFERROR(VEND[[#This Row],[Fecha de Despacho]]-VEND[[#This Row],[Fecha Estimada de Entrega a  Cliente]],"")</f>
        <v>-44386</v>
      </c>
      <c r="R690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0" s="112" t="str">
        <f>IF(VEND[[#This Row],[STATUS]]="O.C","APROBADO",IF(VEND[[#This Row],[STATUS]]="PERDIDO","PERDIDO",IF(VEND[[#This Row],[STATUS]]="EN ESPERA","EN ESPERA")))</f>
        <v>APROBADO</v>
      </c>
      <c r="T690" s="112" t="str">
        <f>IF(VEND[[#This Row],[STATUS]]="O.C","APROBADO",IF(VEND[[#This Row],[STATUS]]="PERDIDO","PERDIDO",IF(VEND[[#This Row],[STATUS]]="EN ESPERA","EN ESPERA")))</f>
        <v>APROBADO</v>
      </c>
      <c r="U690" s="112" t="s">
        <v>46</v>
      </c>
      <c r="V690" s="112" t="s">
        <v>46</v>
      </c>
      <c r="W690" s="112" t="s">
        <v>1409</v>
      </c>
      <c r="X690" s="112" t="s">
        <v>2356</v>
      </c>
    </row>
    <row r="691" spans="2:24" ht="15.75" x14ac:dyDescent="0.25">
      <c r="B691" s="126">
        <v>44368</v>
      </c>
      <c r="C691" s="188" t="str">
        <f>TEXT(VEND[[#This Row],[Fecha de Envío
Cotización]],"mmmm")</f>
        <v>junio</v>
      </c>
      <c r="D691" s="66" t="s">
        <v>50</v>
      </c>
      <c r="E691" s="190" t="s">
        <v>88</v>
      </c>
      <c r="F691" s="125" t="str">
        <f>IF(VEND[[#This Row],[STATUS]]="PERDIDO","N/A","En espera")</f>
        <v>En espera</v>
      </c>
      <c r="G691" s="127" t="str">
        <f>TEXT(VEND[[#This Row],[Fecha Recibe
O.C]],"mmmm")</f>
        <v>En espera</v>
      </c>
      <c r="H691" s="128">
        <v>833</v>
      </c>
      <c r="I691" s="112" t="s">
        <v>116</v>
      </c>
      <c r="J691" s="128"/>
      <c r="K691" s="129">
        <v>1</v>
      </c>
      <c r="L691" s="189">
        <v>356.45</v>
      </c>
      <c r="M691" s="112" t="s">
        <v>36</v>
      </c>
      <c r="N691" s="112">
        <v>28</v>
      </c>
      <c r="O691" s="212" t="str">
        <f>IF(VEND[[#This Row],[STATUS]]="O.C",(VEND[[#This Row],[Fecha Recibe
O.C]]+VEND[[#This Row],[Dias
entrega ]]),"")</f>
        <v/>
      </c>
      <c r="P691" s="216"/>
      <c r="Q691" s="129" t="str">
        <f>IFERROR(VEND[[#This Row],[Fecha de Despacho]]-VEND[[#This Row],[Fecha Estimada de Entrega a  Cliente]],"")</f>
        <v/>
      </c>
      <c r="R69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1" s="128" t="str">
        <f>IF(VEND[[#This Row],[STATUS]]="O.C","APROBADO",IF(VEND[[#This Row],[STATUS]]="PERDIDO","PERDIDO",IF(VEND[[#This Row],[STATUS]]="EN ESPERA","EN ESPERA")))</f>
        <v>EN ESPERA</v>
      </c>
      <c r="T691" s="128" t="str">
        <f>IF(VEND[[#This Row],[STATUS]]="O.C","APROBADO",IF(VEND[[#This Row],[STATUS]]="PERDIDO","PERDIDO",IF(VEND[[#This Row],[STATUS]]="EN ESPERA","EN ESPERA")))</f>
        <v>EN ESPERA</v>
      </c>
      <c r="U691" s="112" t="s">
        <v>46</v>
      </c>
      <c r="V691" s="112" t="s">
        <v>46</v>
      </c>
      <c r="W691" s="112" t="s">
        <v>1401</v>
      </c>
      <c r="X691" s="128"/>
    </row>
    <row r="692" spans="2:24" ht="15.75" x14ac:dyDescent="0.25">
      <c r="B692" s="126">
        <v>44368</v>
      </c>
      <c r="C692" s="188" t="str">
        <f>TEXT(VEND[[#This Row],[Fecha de Envío
Cotización]],"mmmm")</f>
        <v>junio</v>
      </c>
      <c r="D692" s="66" t="s">
        <v>50</v>
      </c>
      <c r="E692" s="190" t="s">
        <v>88</v>
      </c>
      <c r="F692" s="125" t="str">
        <f>IF(VEND[[#This Row],[STATUS]]="PERDIDO","N/A","En espera")</f>
        <v>En espera</v>
      </c>
      <c r="G692" s="127" t="str">
        <f>TEXT(VEND[[#This Row],[Fecha Recibe
O.C]],"mmmm")</f>
        <v>En espera</v>
      </c>
      <c r="H692" s="128">
        <v>836</v>
      </c>
      <c r="I692" s="112" t="s">
        <v>33</v>
      </c>
      <c r="J692" s="128"/>
      <c r="K692" s="129">
        <v>1</v>
      </c>
      <c r="L692" s="189">
        <v>237.48</v>
      </c>
      <c r="M692" s="112" t="s">
        <v>22</v>
      </c>
      <c r="N692" s="112">
        <v>0</v>
      </c>
      <c r="O692" s="212" t="str">
        <f>IF(VEND[[#This Row],[STATUS]]="O.C",(VEND[[#This Row],[Fecha Recibe
O.C]]+VEND[[#This Row],[Dias
entrega ]]),"")</f>
        <v/>
      </c>
      <c r="P692" s="216"/>
      <c r="Q692" s="129" t="str">
        <f>IFERROR(VEND[[#This Row],[Fecha de Despacho]]-VEND[[#This Row],[Fecha Estimada de Entrega a  Cliente]],"")</f>
        <v/>
      </c>
      <c r="R69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2" s="128" t="str">
        <f>IF(VEND[[#This Row],[STATUS]]="O.C","APROBADO",IF(VEND[[#This Row],[STATUS]]="PERDIDO","PERDIDO",IF(VEND[[#This Row],[STATUS]]="EN ESPERA","EN ESPERA")))</f>
        <v>EN ESPERA</v>
      </c>
      <c r="T692" s="128" t="str">
        <f>IF(VEND[[#This Row],[STATUS]]="O.C","APROBADO",IF(VEND[[#This Row],[STATUS]]="PERDIDO","PERDIDO",IF(VEND[[#This Row],[STATUS]]="EN ESPERA","EN ESPERA")))</f>
        <v>EN ESPERA</v>
      </c>
      <c r="U692" s="112" t="s">
        <v>46</v>
      </c>
      <c r="V692" s="112" t="s">
        <v>46</v>
      </c>
      <c r="W692" s="112" t="s">
        <v>1402</v>
      </c>
      <c r="X692" s="128"/>
    </row>
    <row r="693" spans="2:24" ht="15.75" x14ac:dyDescent="0.25">
      <c r="B693" s="232">
        <v>44368</v>
      </c>
      <c r="C693" s="195" t="str">
        <f>TEXT(VEND[[#This Row],[Fecha de Envío
Cotización]],"mmmm")</f>
        <v>junio</v>
      </c>
      <c r="D693" s="66" t="s">
        <v>1163</v>
      </c>
      <c r="E693" s="190" t="s">
        <v>83</v>
      </c>
      <c r="F693" s="125">
        <v>44369</v>
      </c>
      <c r="G693" s="93" t="str">
        <f>TEXT(VEND[[#This Row],[Fecha Recibe
O.C]],"mmmm")</f>
        <v>junio</v>
      </c>
      <c r="H693" s="112">
        <v>837</v>
      </c>
      <c r="I693" s="112" t="s">
        <v>2054</v>
      </c>
      <c r="J693" s="112"/>
      <c r="K693" s="58">
        <v>1</v>
      </c>
      <c r="L693" s="123">
        <v>2500</v>
      </c>
      <c r="M693" s="112" t="s">
        <v>22</v>
      </c>
      <c r="N693" s="112">
        <v>0</v>
      </c>
      <c r="O693" s="212">
        <f>IF(VEND[[#This Row],[STATUS]]="O.C",(VEND[[#This Row],[Fecha Recibe
O.C]]+VEND[[#This Row],[Dias
entrega ]]),"")</f>
        <v>44369</v>
      </c>
      <c r="P693" s="212">
        <v>44369</v>
      </c>
      <c r="Q693" s="58">
        <f>IFERROR(VEND[[#This Row],[Fecha de Despacho]]-VEND[[#This Row],[Fecha Estimada de Entrega a  Cliente]],"")</f>
        <v>0</v>
      </c>
      <c r="R69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3" s="112" t="str">
        <f>IF(VEND[[#This Row],[STATUS]]="O.C","APROBADO",IF(VEND[[#This Row],[STATUS]]="PERDIDO","PERDIDO",IF(VEND[[#This Row],[STATUS]]="EN ESPERA","EN ESPERA")))</f>
        <v>APROBADO</v>
      </c>
      <c r="T693" s="112" t="str">
        <f>IF(VEND[[#This Row],[STATUS]]="O.C","APROBADO",IF(VEND[[#This Row],[STATUS]]="PERDIDO","PERDIDO",IF(VEND[[#This Row],[STATUS]]="EN ESPERA","EN ESPERA")))</f>
        <v>APROBADO</v>
      </c>
      <c r="U693" s="112" t="s">
        <v>45</v>
      </c>
      <c r="V693" s="112" t="s">
        <v>46</v>
      </c>
      <c r="W693" s="112" t="s">
        <v>1401</v>
      </c>
      <c r="X693" s="112">
        <v>1189</v>
      </c>
    </row>
    <row r="694" spans="2:24" ht="15.75" x14ac:dyDescent="0.25">
      <c r="B694" s="232">
        <v>44368</v>
      </c>
      <c r="C694" s="195" t="str">
        <f>TEXT(VEND[[#This Row],[Fecha de Envío
Cotización]],"mmmm")</f>
        <v>junio</v>
      </c>
      <c r="D694" s="66" t="s">
        <v>1163</v>
      </c>
      <c r="E694" s="190" t="s">
        <v>83</v>
      </c>
      <c r="F694" s="125">
        <v>44369</v>
      </c>
      <c r="G694" s="93" t="str">
        <f>TEXT(VEND[[#This Row],[Fecha Recibe
O.C]],"mmmm")</f>
        <v>junio</v>
      </c>
      <c r="H694" s="112">
        <v>838</v>
      </c>
      <c r="I694" s="112" t="s">
        <v>2054</v>
      </c>
      <c r="J694" s="112"/>
      <c r="K694" s="58">
        <v>1</v>
      </c>
      <c r="L694" s="123">
        <v>350</v>
      </c>
      <c r="M694" s="112" t="s">
        <v>22</v>
      </c>
      <c r="N694" s="112">
        <v>0</v>
      </c>
      <c r="O694" s="212">
        <f>IF(VEND[[#This Row],[STATUS]]="O.C",(VEND[[#This Row],[Fecha Recibe
O.C]]+VEND[[#This Row],[Dias
entrega ]]),"")</f>
        <v>44369</v>
      </c>
      <c r="P694" s="212">
        <v>44369</v>
      </c>
      <c r="Q694" s="58">
        <f>IFERROR(VEND[[#This Row],[Fecha de Despacho]]-VEND[[#This Row],[Fecha Estimada de Entrega a  Cliente]],"")</f>
        <v>0</v>
      </c>
      <c r="R69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4" s="112" t="str">
        <f>IF(VEND[[#This Row],[STATUS]]="O.C","APROBADO",IF(VEND[[#This Row],[STATUS]]="PERDIDO","PERDIDO",IF(VEND[[#This Row],[STATUS]]="EN ESPERA","EN ESPERA")))</f>
        <v>APROBADO</v>
      </c>
      <c r="T694" s="112" t="str">
        <f>IF(VEND[[#This Row],[STATUS]]="O.C","APROBADO",IF(VEND[[#This Row],[STATUS]]="PERDIDO","PERDIDO",IF(VEND[[#This Row],[STATUS]]="EN ESPERA","EN ESPERA")))</f>
        <v>APROBADO</v>
      </c>
      <c r="U694" s="112" t="s">
        <v>45</v>
      </c>
      <c r="V694" s="112" t="s">
        <v>46</v>
      </c>
      <c r="W694" s="112" t="s">
        <v>1401</v>
      </c>
      <c r="X694" s="112">
        <v>1190</v>
      </c>
    </row>
    <row r="695" spans="2:24" ht="15.75" x14ac:dyDescent="0.25">
      <c r="B695" s="126">
        <v>44368</v>
      </c>
      <c r="C695" s="188" t="str">
        <f>TEXT(VEND[[#This Row],[Fecha de Envío
Cotización]],"mmmm")</f>
        <v>junio</v>
      </c>
      <c r="D695" s="66" t="s">
        <v>1163</v>
      </c>
      <c r="E695" s="190" t="s">
        <v>88</v>
      </c>
      <c r="F695" s="125" t="str">
        <f>IF(VEND[[#This Row],[STATUS]]="PERDIDO","N/A","En espera")</f>
        <v>En espera</v>
      </c>
      <c r="G695" s="127" t="str">
        <f>TEXT(VEND[[#This Row],[Fecha Recibe
O.C]],"mmmm")</f>
        <v>En espera</v>
      </c>
      <c r="H695" s="128">
        <v>839</v>
      </c>
      <c r="I695" s="112" t="s">
        <v>1241</v>
      </c>
      <c r="J695" s="128"/>
      <c r="K695" s="129">
        <v>1</v>
      </c>
      <c r="L695" s="189">
        <v>1189.8800000000001</v>
      </c>
      <c r="M695" s="128"/>
      <c r="N695" s="112"/>
      <c r="O695" s="212" t="str">
        <f>IF(VEND[[#This Row],[STATUS]]="O.C",(VEND[[#This Row],[Fecha Recibe
O.C]]+VEND[[#This Row],[Dias
entrega ]]),"")</f>
        <v/>
      </c>
      <c r="P695" s="216"/>
      <c r="Q695" s="129" t="str">
        <f>IFERROR(VEND[[#This Row],[Fecha de Despacho]]-VEND[[#This Row],[Fecha Estimada de Entrega a  Cliente]],"")</f>
        <v/>
      </c>
      <c r="R69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5" s="128" t="str">
        <f>IF(VEND[[#This Row],[STATUS]]="O.C","APROBADO",IF(VEND[[#This Row],[STATUS]]="PERDIDO","PERDIDO",IF(VEND[[#This Row],[STATUS]]="EN ESPERA","EN ESPERA")))</f>
        <v>EN ESPERA</v>
      </c>
      <c r="T695" s="128" t="str">
        <f>IF(VEND[[#This Row],[STATUS]]="O.C","APROBADO",IF(VEND[[#This Row],[STATUS]]="PERDIDO","PERDIDO",IF(VEND[[#This Row],[STATUS]]="EN ESPERA","EN ESPERA")))</f>
        <v>EN ESPERA</v>
      </c>
      <c r="U695" s="112" t="s">
        <v>46</v>
      </c>
      <c r="V695" s="112" t="s">
        <v>46</v>
      </c>
      <c r="W695" s="112" t="s">
        <v>1409</v>
      </c>
      <c r="X695" s="128"/>
    </row>
    <row r="696" spans="2:24" ht="15.75" x14ac:dyDescent="0.25">
      <c r="B696" s="126">
        <v>44368</v>
      </c>
      <c r="C696" s="188" t="str">
        <f>TEXT(VEND[[#This Row],[Fecha de Envío
Cotización]],"mmmm")</f>
        <v>junio</v>
      </c>
      <c r="D696" s="66" t="s">
        <v>68</v>
      </c>
      <c r="E696" s="190" t="s">
        <v>42</v>
      </c>
      <c r="F696" s="125" t="str">
        <f>IF(VEND[[#This Row],[STATUS]]="PERDIDO","N/A","En espera")</f>
        <v>N/A</v>
      </c>
      <c r="G696" s="127" t="str">
        <f>TEXT(VEND[[#This Row],[Fecha Recibe
O.C]],"mmmm")</f>
        <v>N/A</v>
      </c>
      <c r="H696" s="128">
        <v>841</v>
      </c>
      <c r="I696" s="112" t="s">
        <v>109</v>
      </c>
      <c r="J696" s="128"/>
      <c r="K696" s="129">
        <v>1</v>
      </c>
      <c r="L696" s="189">
        <v>9530.1</v>
      </c>
      <c r="M696" s="112" t="s">
        <v>124</v>
      </c>
      <c r="N696" s="112">
        <v>35</v>
      </c>
      <c r="O696" s="212" t="str">
        <f>IF(VEND[[#This Row],[STATUS]]="O.C",(VEND[[#This Row],[Fecha Recibe
O.C]]+VEND[[#This Row],[Dias
entrega ]]),"")</f>
        <v/>
      </c>
      <c r="P696" s="216"/>
      <c r="Q696" s="129" t="str">
        <f>IFERROR(VEND[[#This Row],[Fecha de Despacho]]-VEND[[#This Row],[Fecha Estimada de Entrega a  Cliente]],"")</f>
        <v/>
      </c>
      <c r="R69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6" s="128" t="str">
        <f>IF(VEND[[#This Row],[STATUS]]="O.C","APROBADO",IF(VEND[[#This Row],[STATUS]]="PERDIDO","PERDIDO",IF(VEND[[#This Row],[STATUS]]="EN ESPERA","EN ESPERA")))</f>
        <v>PERDIDO</v>
      </c>
      <c r="T696" s="128" t="str">
        <f>IF(VEND[[#This Row],[STATUS]]="O.C","APROBADO",IF(VEND[[#This Row],[STATUS]]="PERDIDO","PERDIDO",IF(VEND[[#This Row],[STATUS]]="EN ESPERA","EN ESPERA")))</f>
        <v>PERDIDO</v>
      </c>
      <c r="U696" s="112" t="s">
        <v>46</v>
      </c>
      <c r="V696" s="112" t="s">
        <v>46</v>
      </c>
      <c r="W696" s="112" t="s">
        <v>1401</v>
      </c>
      <c r="X696" s="112" t="s">
        <v>2473</v>
      </c>
    </row>
    <row r="697" spans="2:24" ht="15.75" x14ac:dyDescent="0.25">
      <c r="B697" s="126">
        <v>44369</v>
      </c>
      <c r="C697" s="188" t="str">
        <f>TEXT(VEND[[#This Row],[Fecha de Envío
Cotización]],"mmmm")</f>
        <v>junio</v>
      </c>
      <c r="D697" s="66" t="s">
        <v>945</v>
      </c>
      <c r="E697" s="190" t="s">
        <v>88</v>
      </c>
      <c r="F697" s="125" t="str">
        <f>IF(VEND[[#This Row],[STATUS]]="PERDIDO","N/A","En espera")</f>
        <v>En espera</v>
      </c>
      <c r="G697" s="127" t="str">
        <f>TEXT(VEND[[#This Row],[Fecha Recibe
O.C]],"mmmm")</f>
        <v>En espera</v>
      </c>
      <c r="H697" s="128">
        <v>842</v>
      </c>
      <c r="I697" s="112" t="s">
        <v>424</v>
      </c>
      <c r="J697" s="128"/>
      <c r="K697" s="129">
        <v>1</v>
      </c>
      <c r="L697" s="189">
        <v>139.32</v>
      </c>
      <c r="M697" s="112" t="s">
        <v>16</v>
      </c>
      <c r="N697" s="112">
        <v>21</v>
      </c>
      <c r="O697" s="212" t="str">
        <f>IF(VEND[[#This Row],[STATUS]]="O.C",(VEND[[#This Row],[Fecha Recibe
O.C]]+VEND[[#This Row],[Dias
entrega ]]),"")</f>
        <v/>
      </c>
      <c r="P697" s="216"/>
      <c r="Q697" s="129" t="str">
        <f>IFERROR(VEND[[#This Row],[Fecha de Despacho]]-VEND[[#This Row],[Fecha Estimada de Entrega a  Cliente]],"")</f>
        <v/>
      </c>
      <c r="R69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7" s="128" t="str">
        <f>IF(VEND[[#This Row],[STATUS]]="O.C","APROBADO",IF(VEND[[#This Row],[STATUS]]="PERDIDO","PERDIDO",IF(VEND[[#This Row],[STATUS]]="EN ESPERA","EN ESPERA")))</f>
        <v>EN ESPERA</v>
      </c>
      <c r="T697" s="128" t="str">
        <f>IF(VEND[[#This Row],[STATUS]]="O.C","APROBADO",IF(VEND[[#This Row],[STATUS]]="PERDIDO","PERDIDO",IF(VEND[[#This Row],[STATUS]]="EN ESPERA","EN ESPERA")))</f>
        <v>EN ESPERA</v>
      </c>
      <c r="U697" s="112" t="s">
        <v>46</v>
      </c>
      <c r="V697" s="112" t="s">
        <v>46</v>
      </c>
      <c r="W697" s="112" t="s">
        <v>1402</v>
      </c>
      <c r="X697" s="128"/>
    </row>
    <row r="698" spans="2:24" ht="15.75" x14ac:dyDescent="0.25">
      <c r="B698" s="126">
        <v>44369</v>
      </c>
      <c r="C698" s="188" t="str">
        <f>TEXT(VEND[[#This Row],[Fecha de Envío
Cotización]],"mmmm")</f>
        <v>junio</v>
      </c>
      <c r="D698" s="66" t="s">
        <v>1163</v>
      </c>
      <c r="E698" s="190" t="s">
        <v>83</v>
      </c>
      <c r="F698" s="125">
        <v>44376</v>
      </c>
      <c r="G698" s="127" t="str">
        <f>TEXT(VEND[[#This Row],[Fecha Recibe
O.C]],"mmmm")</f>
        <v>junio</v>
      </c>
      <c r="H698" s="128">
        <v>843</v>
      </c>
      <c r="I698" s="112" t="s">
        <v>1241</v>
      </c>
      <c r="J698" s="128"/>
      <c r="K698" s="129">
        <v>1</v>
      </c>
      <c r="L698" s="189">
        <v>758.55</v>
      </c>
      <c r="M698" s="112" t="s">
        <v>16</v>
      </c>
      <c r="N698" s="112">
        <v>21</v>
      </c>
      <c r="O698" s="212">
        <f>IF(VEND[[#This Row],[STATUS]]="O.C",(VEND[[#This Row],[Fecha Recibe
O.C]]+VEND[[#This Row],[Dias
entrega ]]),"")</f>
        <v>44397</v>
      </c>
      <c r="P698" s="216"/>
      <c r="Q698" s="129">
        <f>IFERROR(VEND[[#This Row],[Fecha de Despacho]]-VEND[[#This Row],[Fecha Estimada de Entrega a  Cliente]],"")</f>
        <v>-44397</v>
      </c>
      <c r="R69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8" s="128" t="str">
        <f>IF(VEND[[#This Row],[STATUS]]="O.C","APROBADO",IF(VEND[[#This Row],[STATUS]]="PERDIDO","PERDIDO",IF(VEND[[#This Row],[STATUS]]="EN ESPERA","EN ESPERA")))</f>
        <v>APROBADO</v>
      </c>
      <c r="T698" s="128" t="str">
        <f>IF(VEND[[#This Row],[STATUS]]="O.C","APROBADO",IF(VEND[[#This Row],[STATUS]]="PERDIDO","PERDIDO",IF(VEND[[#This Row],[STATUS]]="EN ESPERA","EN ESPERA")))</f>
        <v>APROBADO</v>
      </c>
      <c r="U698" s="112" t="s">
        <v>46</v>
      </c>
      <c r="V698" s="112" t="s">
        <v>46</v>
      </c>
      <c r="W698" s="112" t="s">
        <v>1409</v>
      </c>
      <c r="X698" s="112" t="s">
        <v>2539</v>
      </c>
    </row>
    <row r="699" spans="2:24" ht="15.75" x14ac:dyDescent="0.25">
      <c r="B699" s="71">
        <v>44369</v>
      </c>
      <c r="C699" s="195" t="str">
        <f>TEXT(VEND[[#This Row],[Fecha de Envío
Cotización]],"mmmm")</f>
        <v>junio</v>
      </c>
      <c r="D699" s="66" t="s">
        <v>945</v>
      </c>
      <c r="E699" s="190" t="s">
        <v>83</v>
      </c>
      <c r="F699" s="125">
        <v>44376</v>
      </c>
      <c r="G699" s="93" t="str">
        <f>TEXT(VEND[[#This Row],[Fecha Recibe
O.C]],"mmmm")</f>
        <v>junio</v>
      </c>
      <c r="H699" s="112">
        <v>846</v>
      </c>
      <c r="I699" s="112" t="s">
        <v>320</v>
      </c>
      <c r="J699" s="112"/>
      <c r="K699" s="58">
        <v>2</v>
      </c>
      <c r="L699" s="123">
        <v>332.43</v>
      </c>
      <c r="M699" s="112" t="s">
        <v>36</v>
      </c>
      <c r="N699" s="112">
        <v>28</v>
      </c>
      <c r="O699" s="212">
        <f>IF(VEND[[#This Row],[STATUS]]="O.C",(VEND[[#This Row],[Fecha Recibe
O.C]]+VEND[[#This Row],[Dias
entrega ]]),"")</f>
        <v>44404</v>
      </c>
      <c r="P699" s="212"/>
      <c r="Q699" s="58">
        <f>IFERROR(VEND[[#This Row],[Fecha de Despacho]]-VEND[[#This Row],[Fecha Estimada de Entrega a  Cliente]],"")</f>
        <v>-44404</v>
      </c>
      <c r="R699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699" s="112" t="str">
        <f>IF(VEND[[#This Row],[STATUS]]="O.C","APROBADO",IF(VEND[[#This Row],[STATUS]]="PERDIDO","PERDIDO",IF(VEND[[#This Row],[STATUS]]="EN ESPERA","EN ESPERA")))</f>
        <v>APROBADO</v>
      </c>
      <c r="T699" s="112" t="str">
        <f>IF(VEND[[#This Row],[STATUS]]="O.C","APROBADO",IF(VEND[[#This Row],[STATUS]]="PERDIDO","PERDIDO",IF(VEND[[#This Row],[STATUS]]="EN ESPERA","EN ESPERA")))</f>
        <v>APROBADO</v>
      </c>
      <c r="U699" s="112" t="s">
        <v>46</v>
      </c>
      <c r="V699" s="112" t="s">
        <v>46</v>
      </c>
      <c r="W699" s="112" t="s">
        <v>1405</v>
      </c>
      <c r="X699" s="112" t="s">
        <v>2518</v>
      </c>
    </row>
    <row r="700" spans="2:24" ht="15.75" x14ac:dyDescent="0.25">
      <c r="B700" s="71">
        <v>44369</v>
      </c>
      <c r="C700" s="195" t="str">
        <f>TEXT(VEND[[#This Row],[Fecha de Envío
Cotización]],"mmmm")</f>
        <v>junio</v>
      </c>
      <c r="D700" s="66" t="s">
        <v>945</v>
      </c>
      <c r="E700" s="190" t="s">
        <v>88</v>
      </c>
      <c r="F700" s="125" t="str">
        <f>IF(VEND[[#This Row],[STATUS]]="PERDIDO","N/A","En espera")</f>
        <v>En espera</v>
      </c>
      <c r="G700" s="93" t="str">
        <f>TEXT(VEND[[#This Row],[Fecha Recibe
O.C]],"mmmm")</f>
        <v>En espera</v>
      </c>
      <c r="H700" s="112">
        <v>847</v>
      </c>
      <c r="I700" s="112" t="s">
        <v>320</v>
      </c>
      <c r="J700" s="112"/>
      <c r="K700" s="58">
        <v>1</v>
      </c>
      <c r="L700" s="123">
        <v>82.17</v>
      </c>
      <c r="M700" s="112" t="s">
        <v>36</v>
      </c>
      <c r="N700" s="112">
        <v>28</v>
      </c>
      <c r="O700" s="212" t="str">
        <f>IF(VEND[[#This Row],[STATUS]]="O.C",(VEND[[#This Row],[Fecha Recibe
O.C]]+VEND[[#This Row],[Dias
entrega ]]),"")</f>
        <v/>
      </c>
      <c r="P700" s="212"/>
      <c r="Q700" s="58" t="str">
        <f>IFERROR(VEND[[#This Row],[Fecha de Despacho]]-VEND[[#This Row],[Fecha Estimada de Entrega a  Cliente]],"")</f>
        <v/>
      </c>
      <c r="R700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0" s="112" t="str">
        <f>IF(VEND[[#This Row],[STATUS]]="O.C","APROBADO",IF(VEND[[#This Row],[STATUS]]="PERDIDO","PERDIDO",IF(VEND[[#This Row],[STATUS]]="EN ESPERA","EN ESPERA")))</f>
        <v>EN ESPERA</v>
      </c>
      <c r="T700" s="112" t="str">
        <f>IF(VEND[[#This Row],[STATUS]]="O.C","APROBADO",IF(VEND[[#This Row],[STATUS]]="PERDIDO","PERDIDO",IF(VEND[[#This Row],[STATUS]]="EN ESPERA","EN ESPERA")))</f>
        <v>EN ESPERA</v>
      </c>
      <c r="U700" s="112" t="s">
        <v>46</v>
      </c>
      <c r="V700" s="112" t="s">
        <v>46</v>
      </c>
      <c r="W700" s="112" t="s">
        <v>1405</v>
      </c>
      <c r="X700" s="112"/>
    </row>
    <row r="701" spans="2:24" s="105" customFormat="1" ht="15.75" x14ac:dyDescent="0.25">
      <c r="B701" s="71">
        <v>44369</v>
      </c>
      <c r="C701" s="195" t="str">
        <f>TEXT(VEND[[#This Row],[Fecha de Envío
Cotización]],"mmmm")</f>
        <v>junio</v>
      </c>
      <c r="D701" s="66" t="s">
        <v>945</v>
      </c>
      <c r="E701" s="190" t="s">
        <v>83</v>
      </c>
      <c r="F701" s="125">
        <v>44372</v>
      </c>
      <c r="G701" s="93" t="str">
        <f>TEXT(VEND[[#This Row],[Fecha Recibe
O.C]],"mmmm")</f>
        <v>junio</v>
      </c>
      <c r="H701" s="112">
        <v>848</v>
      </c>
      <c r="I701" s="112" t="s">
        <v>320</v>
      </c>
      <c r="J701" s="112"/>
      <c r="K701" s="58">
        <v>1</v>
      </c>
      <c r="L701" s="123">
        <v>868.04</v>
      </c>
      <c r="M701" s="112" t="s">
        <v>16</v>
      </c>
      <c r="N701" s="112">
        <v>21</v>
      </c>
      <c r="O701" s="212">
        <f>IF(VEND[[#This Row],[STATUS]]="O.C",(VEND[[#This Row],[Fecha Recibe
O.C]]+VEND[[#This Row],[Dias
entrega ]]),"")</f>
        <v>44393</v>
      </c>
      <c r="P701" s="212"/>
      <c r="Q701" s="58">
        <f>IFERROR(VEND[[#This Row],[Fecha de Despacho]]-VEND[[#This Row],[Fecha Estimada de Entrega a  Cliente]],"")</f>
        <v>-44393</v>
      </c>
      <c r="R701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1" s="112" t="str">
        <f>IF(VEND[[#This Row],[STATUS]]="O.C","APROBADO",IF(VEND[[#This Row],[STATUS]]="PERDIDO","PERDIDO",IF(VEND[[#This Row],[STATUS]]="EN ESPERA","EN ESPERA")))</f>
        <v>APROBADO</v>
      </c>
      <c r="T701" s="112" t="str">
        <f>IF(VEND[[#This Row],[STATUS]]="O.C","APROBADO",IF(VEND[[#This Row],[STATUS]]="PERDIDO","PERDIDO",IF(VEND[[#This Row],[STATUS]]="EN ESPERA","EN ESPERA")))</f>
        <v>APROBADO</v>
      </c>
      <c r="U701" s="112" t="s">
        <v>46</v>
      </c>
      <c r="V701" s="112" t="s">
        <v>46</v>
      </c>
      <c r="W701" s="112" t="s">
        <v>1405</v>
      </c>
      <c r="X701" s="112" t="s">
        <v>2478</v>
      </c>
    </row>
    <row r="702" spans="2:24" s="105" customFormat="1" ht="15.75" x14ac:dyDescent="0.25">
      <c r="B702" s="71">
        <v>44369</v>
      </c>
      <c r="C702" s="195" t="str">
        <f>TEXT(VEND[[#This Row],[Fecha de Envío
Cotización]],"mmmm")</f>
        <v>junio</v>
      </c>
      <c r="D702" s="66" t="s">
        <v>1163</v>
      </c>
      <c r="E702" s="190" t="s">
        <v>83</v>
      </c>
      <c r="F702" s="125">
        <v>44376</v>
      </c>
      <c r="G702" s="93" t="str">
        <f>TEXT(VEND[[#This Row],[Fecha Recibe
O.C]],"mmmm")</f>
        <v>junio</v>
      </c>
      <c r="H702" s="112">
        <v>849</v>
      </c>
      <c r="I702" s="112" t="s">
        <v>1241</v>
      </c>
      <c r="J702" s="112"/>
      <c r="K702" s="58">
        <v>1</v>
      </c>
      <c r="L702" s="123">
        <v>114.41</v>
      </c>
      <c r="M702" s="112" t="s">
        <v>16</v>
      </c>
      <c r="N702" s="112">
        <v>21</v>
      </c>
      <c r="O702" s="212">
        <f>IF(VEND[[#This Row],[STATUS]]="O.C",(VEND[[#This Row],[Fecha Recibe
O.C]]+VEND[[#This Row],[Dias
entrega ]]),"")</f>
        <v>44397</v>
      </c>
      <c r="P702" s="212"/>
      <c r="Q702" s="58">
        <f>IFERROR(VEND[[#This Row],[Fecha de Despacho]]-VEND[[#This Row],[Fecha Estimada de Entrega a  Cliente]],"")</f>
        <v>-44397</v>
      </c>
      <c r="R702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2" s="112" t="str">
        <f>IF(VEND[[#This Row],[STATUS]]="O.C","APROBADO",IF(VEND[[#This Row],[STATUS]]="PERDIDO","PERDIDO",IF(VEND[[#This Row],[STATUS]]="EN ESPERA","EN ESPERA")))</f>
        <v>APROBADO</v>
      </c>
      <c r="T702" s="112" t="str">
        <f>IF(VEND[[#This Row],[STATUS]]="O.C","APROBADO",IF(VEND[[#This Row],[STATUS]]="PERDIDO","PERDIDO",IF(VEND[[#This Row],[STATUS]]="EN ESPERA","EN ESPERA")))</f>
        <v>APROBADO</v>
      </c>
      <c r="U702" s="112" t="s">
        <v>46</v>
      </c>
      <c r="V702" s="112" t="s">
        <v>46</v>
      </c>
      <c r="W702" s="112" t="s">
        <v>1409</v>
      </c>
      <c r="X702" s="112" t="s">
        <v>2538</v>
      </c>
    </row>
    <row r="703" spans="2:24" s="105" customFormat="1" ht="15.75" x14ac:dyDescent="0.25">
      <c r="B703" s="71">
        <v>44369</v>
      </c>
      <c r="C703" s="195" t="str">
        <f>TEXT(VEND[[#This Row],[Fecha de Envío
Cotización]],"mmmm")</f>
        <v>junio</v>
      </c>
      <c r="D703" s="66" t="s">
        <v>1163</v>
      </c>
      <c r="E703" s="190" t="s">
        <v>88</v>
      </c>
      <c r="F703" s="125" t="str">
        <f>IF(VEND[[#This Row],[STATUS]]="PERDIDO","N/A","En espera")</f>
        <v>En espera</v>
      </c>
      <c r="G703" s="93" t="str">
        <f>TEXT(VEND[[#This Row],[Fecha Recibe
O.C]],"mmmm")</f>
        <v>En espera</v>
      </c>
      <c r="H703" s="112">
        <v>850</v>
      </c>
      <c r="I703" s="112" t="s">
        <v>1241</v>
      </c>
      <c r="J703" s="112"/>
      <c r="K703" s="58">
        <v>1</v>
      </c>
      <c r="L703" s="123">
        <v>41254.019999999997</v>
      </c>
      <c r="M703" s="112" t="s">
        <v>2386</v>
      </c>
      <c r="N703" s="112">
        <v>112</v>
      </c>
      <c r="O703" s="212" t="str">
        <f>IF(VEND[[#This Row],[STATUS]]="O.C",(VEND[[#This Row],[Fecha Recibe
O.C]]+VEND[[#This Row],[Dias
entrega ]]),"")</f>
        <v/>
      </c>
      <c r="P703" s="212"/>
      <c r="Q703" s="58" t="str">
        <f>IFERROR(VEND[[#This Row],[Fecha de Despacho]]-VEND[[#This Row],[Fecha Estimada de Entrega a  Cliente]],"")</f>
        <v/>
      </c>
      <c r="R70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3" s="112" t="str">
        <f>IF(VEND[[#This Row],[STATUS]]="O.C","APROBADO",IF(VEND[[#This Row],[STATUS]]="PERDIDO","PERDIDO",IF(VEND[[#This Row],[STATUS]]="EN ESPERA","EN ESPERA")))</f>
        <v>EN ESPERA</v>
      </c>
      <c r="T703" s="112" t="str">
        <f>IF(VEND[[#This Row],[STATUS]]="O.C","APROBADO",IF(VEND[[#This Row],[STATUS]]="PERDIDO","PERDIDO",IF(VEND[[#This Row],[STATUS]]="EN ESPERA","EN ESPERA")))</f>
        <v>EN ESPERA</v>
      </c>
      <c r="U703" s="112" t="s">
        <v>46</v>
      </c>
      <c r="V703" s="112" t="s">
        <v>46</v>
      </c>
      <c r="W703" s="112" t="s">
        <v>1409</v>
      </c>
      <c r="X703" s="112"/>
    </row>
    <row r="704" spans="2:24" s="105" customFormat="1" ht="15.75" x14ac:dyDescent="0.25">
      <c r="B704" s="71">
        <v>44369</v>
      </c>
      <c r="C704" s="195" t="str">
        <f>TEXT(VEND[[#This Row],[Fecha de Envío
Cotización]],"mmmm")</f>
        <v>junio</v>
      </c>
      <c r="D704" s="66" t="s">
        <v>1163</v>
      </c>
      <c r="E704" s="190" t="s">
        <v>88</v>
      </c>
      <c r="F704" s="125" t="str">
        <f>IF(VEND[[#This Row],[STATUS]]="PERDIDO","N/A","En espera")</f>
        <v>En espera</v>
      </c>
      <c r="G704" s="93" t="str">
        <f>TEXT(VEND[[#This Row],[Fecha Recibe
O.C]],"mmmm")</f>
        <v>En espera</v>
      </c>
      <c r="H704" s="112">
        <v>851</v>
      </c>
      <c r="I704" s="112" t="s">
        <v>1241</v>
      </c>
      <c r="J704" s="112"/>
      <c r="K704" s="58">
        <v>1</v>
      </c>
      <c r="L704" s="123">
        <v>1318.19</v>
      </c>
      <c r="M704" s="112" t="s">
        <v>36</v>
      </c>
      <c r="N704" s="112">
        <v>28</v>
      </c>
      <c r="O704" s="212" t="str">
        <f>IF(VEND[[#This Row],[STATUS]]="O.C",(VEND[[#This Row],[Fecha Recibe
O.C]]+VEND[[#This Row],[Dias
entrega ]]),"")</f>
        <v/>
      </c>
      <c r="P704" s="212"/>
      <c r="Q704" s="58" t="str">
        <f>IFERROR(VEND[[#This Row],[Fecha de Despacho]]-VEND[[#This Row],[Fecha Estimada de Entrega a  Cliente]],"")</f>
        <v/>
      </c>
      <c r="R70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4" s="112" t="str">
        <f>IF(VEND[[#This Row],[STATUS]]="O.C","APROBADO",IF(VEND[[#This Row],[STATUS]]="PERDIDO","PERDIDO",IF(VEND[[#This Row],[STATUS]]="EN ESPERA","EN ESPERA")))</f>
        <v>EN ESPERA</v>
      </c>
      <c r="T704" s="112" t="str">
        <f>IF(VEND[[#This Row],[STATUS]]="O.C","APROBADO",IF(VEND[[#This Row],[STATUS]]="PERDIDO","PERDIDO",IF(VEND[[#This Row],[STATUS]]="EN ESPERA","EN ESPERA")))</f>
        <v>EN ESPERA</v>
      </c>
      <c r="U704" s="112" t="s">
        <v>46</v>
      </c>
      <c r="V704" s="112" t="s">
        <v>46</v>
      </c>
      <c r="W704" s="112" t="s">
        <v>1409</v>
      </c>
      <c r="X704" s="112"/>
    </row>
    <row r="705" spans="2:24" s="105" customFormat="1" ht="15.75" x14ac:dyDescent="0.25">
      <c r="B705" s="237">
        <v>44369</v>
      </c>
      <c r="C705" s="188" t="str">
        <f>TEXT(VEND[[#This Row],[Fecha de Envío
Cotización]],"mmmm")</f>
        <v>junio</v>
      </c>
      <c r="D705" s="66" t="s">
        <v>1163</v>
      </c>
      <c r="E705" s="190" t="s">
        <v>83</v>
      </c>
      <c r="F705" s="125">
        <v>44370</v>
      </c>
      <c r="G705" s="127" t="str">
        <f>TEXT(VEND[[#This Row],[Fecha Recibe
O.C]],"mmmm")</f>
        <v>junio</v>
      </c>
      <c r="H705" s="128">
        <v>852</v>
      </c>
      <c r="I705" s="112" t="s">
        <v>1241</v>
      </c>
      <c r="J705" s="128"/>
      <c r="K705" s="129">
        <v>2</v>
      </c>
      <c r="L705" s="189">
        <v>4924.22</v>
      </c>
      <c r="M705" s="112" t="s">
        <v>16</v>
      </c>
      <c r="N705" s="112">
        <v>21</v>
      </c>
      <c r="O705" s="212">
        <f>IF(VEND[[#This Row],[STATUS]]="O.C",(VEND[[#This Row],[Fecha Recibe
O.C]]+VEND[[#This Row],[Dias
entrega ]]),"")</f>
        <v>44391</v>
      </c>
      <c r="P705" s="216"/>
      <c r="Q705" s="129">
        <f>IFERROR(VEND[[#This Row],[Fecha de Despacho]]-VEND[[#This Row],[Fecha Estimada de Entrega a  Cliente]],"")</f>
        <v>-44391</v>
      </c>
      <c r="R70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5" s="128" t="str">
        <f>IF(VEND[[#This Row],[STATUS]]="O.C","APROBADO",IF(VEND[[#This Row],[STATUS]]="PERDIDO","PERDIDO",IF(VEND[[#This Row],[STATUS]]="EN ESPERA","EN ESPERA")))</f>
        <v>APROBADO</v>
      </c>
      <c r="T705" s="128" t="str">
        <f>IF(VEND[[#This Row],[STATUS]]="O.C","APROBADO",IF(VEND[[#This Row],[STATUS]]="PERDIDO","PERDIDO",IF(VEND[[#This Row],[STATUS]]="EN ESPERA","EN ESPERA")))</f>
        <v>APROBADO</v>
      </c>
      <c r="U705" s="112" t="s">
        <v>46</v>
      </c>
      <c r="V705" s="112" t="s">
        <v>46</v>
      </c>
      <c r="W705" s="112" t="s">
        <v>1409</v>
      </c>
      <c r="X705" s="128" t="s">
        <v>2385</v>
      </c>
    </row>
    <row r="706" spans="2:24" s="105" customFormat="1" ht="15.75" x14ac:dyDescent="0.25">
      <c r="B706" s="71">
        <v>44369</v>
      </c>
      <c r="C706" s="195" t="str">
        <f>TEXT(VEND[[#This Row],[Fecha de Envío
Cotización]],"mmmm")</f>
        <v>junio</v>
      </c>
      <c r="D706" s="66" t="s">
        <v>945</v>
      </c>
      <c r="E706" s="190" t="s">
        <v>83</v>
      </c>
      <c r="F706" s="93">
        <v>44369</v>
      </c>
      <c r="G706" s="93" t="str">
        <f>TEXT(VEND[[#This Row],[Fecha Recibe
O.C]],"mmmm")</f>
        <v>junio</v>
      </c>
      <c r="H706" s="112" t="s">
        <v>1834</v>
      </c>
      <c r="I706" s="112" t="s">
        <v>2368</v>
      </c>
      <c r="J706" s="112"/>
      <c r="K706" s="58">
        <v>1</v>
      </c>
      <c r="L706" s="123">
        <v>1140</v>
      </c>
      <c r="M706" s="112" t="s">
        <v>22</v>
      </c>
      <c r="N706" s="112">
        <v>0</v>
      </c>
      <c r="O706" s="212">
        <f>IF(VEND[[#This Row],[STATUS]]="O.C",(VEND[[#This Row],[Fecha Recibe
O.C]]+VEND[[#This Row],[Dias
entrega ]]),"")</f>
        <v>44369</v>
      </c>
      <c r="P706" s="212">
        <v>44369</v>
      </c>
      <c r="Q706" s="58">
        <f>IFERROR(VEND[[#This Row],[Fecha de Despacho]]-VEND[[#This Row],[Fecha Estimada de Entrega a  Cliente]],"")</f>
        <v>0</v>
      </c>
      <c r="R706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6" s="112" t="str">
        <f>IF(VEND[[#This Row],[STATUS]]="O.C","APROBADO",IF(VEND[[#This Row],[STATUS]]="PERDIDO","PERDIDO",IF(VEND[[#This Row],[STATUS]]="EN ESPERA","EN ESPERA")))</f>
        <v>APROBADO</v>
      </c>
      <c r="T706" s="112" t="str">
        <f>IF(VEND[[#This Row],[STATUS]]="O.C","APROBADO",IF(VEND[[#This Row],[STATUS]]="PERDIDO","PERDIDO",IF(VEND[[#This Row],[STATUS]]="EN ESPERA","EN ESPERA")))</f>
        <v>APROBADO</v>
      </c>
      <c r="U706" s="112" t="s">
        <v>45</v>
      </c>
      <c r="V706" s="112" t="s">
        <v>46</v>
      </c>
      <c r="W706" s="112" t="s">
        <v>1402</v>
      </c>
      <c r="X706" s="112"/>
    </row>
    <row r="707" spans="2:24" s="105" customFormat="1" ht="15.75" x14ac:dyDescent="0.25">
      <c r="B707" s="126">
        <v>44370</v>
      </c>
      <c r="C707" s="188" t="str">
        <f>TEXT(VEND[[#This Row],[Fecha de Envío
Cotización]],"mmmm")</f>
        <v>junio</v>
      </c>
      <c r="D707" s="66" t="s">
        <v>68</v>
      </c>
      <c r="E707" s="190" t="s">
        <v>88</v>
      </c>
      <c r="F707" s="125" t="str">
        <f>IF(VEND[[#This Row],[STATUS]]="PERDIDO","N/A","En espera")</f>
        <v>En espera</v>
      </c>
      <c r="G707" s="127" t="str">
        <f>TEXT(VEND[[#This Row],[Fecha Recibe
O.C]],"mmmm")</f>
        <v>En espera</v>
      </c>
      <c r="H707" s="128">
        <v>854</v>
      </c>
      <c r="I707" s="112" t="s">
        <v>91</v>
      </c>
      <c r="J707" s="128"/>
      <c r="K707" s="129">
        <v>7</v>
      </c>
      <c r="L707" s="189">
        <v>225.74</v>
      </c>
      <c r="M707" s="112" t="s">
        <v>16</v>
      </c>
      <c r="N707" s="112">
        <v>21</v>
      </c>
      <c r="O707" s="212" t="str">
        <f>IF(VEND[[#This Row],[STATUS]]="O.C",(VEND[[#This Row],[Fecha Recibe
O.C]]+VEND[[#This Row],[Dias
entrega ]]),"")</f>
        <v/>
      </c>
      <c r="P707" s="216"/>
      <c r="Q707" s="129" t="str">
        <f>IFERROR(VEND[[#This Row],[Fecha de Despacho]]-VEND[[#This Row],[Fecha Estimada de Entrega a  Cliente]],"")</f>
        <v/>
      </c>
      <c r="R70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7" s="128" t="str">
        <f>IF(VEND[[#This Row],[STATUS]]="O.C","APROBADO",IF(VEND[[#This Row],[STATUS]]="PERDIDO","PERDIDO",IF(VEND[[#This Row],[STATUS]]="EN ESPERA","EN ESPERA")))</f>
        <v>EN ESPERA</v>
      </c>
      <c r="T707" s="128" t="str">
        <f>IF(VEND[[#This Row],[STATUS]]="O.C","APROBADO",IF(VEND[[#This Row],[STATUS]]="PERDIDO","PERDIDO",IF(VEND[[#This Row],[STATUS]]="EN ESPERA","EN ESPERA")))</f>
        <v>EN ESPERA</v>
      </c>
      <c r="U707" s="112" t="s">
        <v>46</v>
      </c>
      <c r="V707" s="112" t="s">
        <v>46</v>
      </c>
      <c r="W707" s="112" t="s">
        <v>1401</v>
      </c>
      <c r="X707" s="128"/>
    </row>
    <row r="708" spans="2:24" s="105" customFormat="1" ht="15.75" x14ac:dyDescent="0.25">
      <c r="B708" s="126">
        <v>44370</v>
      </c>
      <c r="C708" s="188" t="str">
        <f>TEXT(VEND[[#This Row],[Fecha de Envío
Cotización]],"mmmm")</f>
        <v>junio</v>
      </c>
      <c r="D708" s="66" t="s">
        <v>50</v>
      </c>
      <c r="E708" s="190" t="s">
        <v>88</v>
      </c>
      <c r="F708" s="125" t="str">
        <f>IF(VEND[[#This Row],[STATUS]]="PERDIDO","N/A","En espera")</f>
        <v>En espera</v>
      </c>
      <c r="G708" s="127" t="str">
        <f>TEXT(VEND[[#This Row],[Fecha Recibe
O.C]],"mmmm")</f>
        <v>En espera</v>
      </c>
      <c r="H708" s="128">
        <v>855</v>
      </c>
      <c r="I708" s="112" t="s">
        <v>129</v>
      </c>
      <c r="J708" s="128"/>
      <c r="K708" s="129">
        <v>1</v>
      </c>
      <c r="L708" s="189">
        <v>232.89</v>
      </c>
      <c r="M708" s="112" t="s">
        <v>16</v>
      </c>
      <c r="N708" s="112">
        <v>21</v>
      </c>
      <c r="O708" s="212" t="str">
        <f>IF(VEND[[#This Row],[STATUS]]="O.C",(VEND[[#This Row],[Fecha Recibe
O.C]]+VEND[[#This Row],[Dias
entrega ]]),"")</f>
        <v/>
      </c>
      <c r="P708" s="216"/>
      <c r="Q708" s="129" t="str">
        <f>IFERROR(VEND[[#This Row],[Fecha de Despacho]]-VEND[[#This Row],[Fecha Estimada de Entrega a  Cliente]],"")</f>
        <v/>
      </c>
      <c r="R70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8" s="128" t="str">
        <f>IF(VEND[[#This Row],[STATUS]]="O.C","APROBADO",IF(VEND[[#This Row],[STATUS]]="PERDIDO","PERDIDO",IF(VEND[[#This Row],[STATUS]]="EN ESPERA","EN ESPERA")))</f>
        <v>EN ESPERA</v>
      </c>
      <c r="T708" s="128" t="str">
        <f>IF(VEND[[#This Row],[STATUS]]="O.C","APROBADO",IF(VEND[[#This Row],[STATUS]]="PERDIDO","PERDIDO",IF(VEND[[#This Row],[STATUS]]="EN ESPERA","EN ESPERA")))</f>
        <v>EN ESPERA</v>
      </c>
      <c r="U708" s="112" t="s">
        <v>46</v>
      </c>
      <c r="V708" s="112" t="s">
        <v>46</v>
      </c>
      <c r="W708" s="112" t="s">
        <v>1402</v>
      </c>
      <c r="X708" s="128"/>
    </row>
    <row r="709" spans="2:24" ht="15.75" x14ac:dyDescent="0.25">
      <c r="B709" s="126">
        <v>44370</v>
      </c>
      <c r="C709" s="188" t="str">
        <f>TEXT(VEND[[#This Row],[Fecha de Envío
Cotización]],"mmmm")</f>
        <v>junio</v>
      </c>
      <c r="D709" s="66" t="s">
        <v>68</v>
      </c>
      <c r="E709" s="190" t="s">
        <v>88</v>
      </c>
      <c r="F709" s="125" t="str">
        <f>IF(VEND[[#This Row],[STATUS]]="PERDIDO","N/A","En espera")</f>
        <v>En espera</v>
      </c>
      <c r="G709" s="127" t="str">
        <f>TEXT(VEND[[#This Row],[Fecha Recibe
O.C]],"mmmm")</f>
        <v>En espera</v>
      </c>
      <c r="H709" s="128">
        <v>856</v>
      </c>
      <c r="I709" s="112" t="s">
        <v>109</v>
      </c>
      <c r="J709" s="128"/>
      <c r="K709" s="129">
        <v>1</v>
      </c>
      <c r="L709" s="189">
        <v>4721.3599999999997</v>
      </c>
      <c r="M709" s="112" t="s">
        <v>16</v>
      </c>
      <c r="N709" s="112">
        <v>21</v>
      </c>
      <c r="O709" s="212" t="str">
        <f>IF(VEND[[#This Row],[STATUS]]="O.C",(VEND[[#This Row],[Fecha Recibe
O.C]]+VEND[[#This Row],[Dias
entrega ]]),"")</f>
        <v/>
      </c>
      <c r="P709" s="216"/>
      <c r="Q709" s="129" t="str">
        <f>IFERROR(VEND[[#This Row],[Fecha de Despacho]]-VEND[[#This Row],[Fecha Estimada de Entrega a  Cliente]],"")</f>
        <v/>
      </c>
      <c r="R70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09" s="128" t="str">
        <f>IF(VEND[[#This Row],[STATUS]]="O.C","APROBADO",IF(VEND[[#This Row],[STATUS]]="PERDIDO","PERDIDO",IF(VEND[[#This Row],[STATUS]]="EN ESPERA","EN ESPERA")))</f>
        <v>EN ESPERA</v>
      </c>
      <c r="T709" s="128" t="str">
        <f>IF(VEND[[#This Row],[STATUS]]="O.C","APROBADO",IF(VEND[[#This Row],[STATUS]]="PERDIDO","PERDIDO",IF(VEND[[#This Row],[STATUS]]="EN ESPERA","EN ESPERA")))</f>
        <v>EN ESPERA</v>
      </c>
      <c r="U709" s="112" t="s">
        <v>46</v>
      </c>
      <c r="V709" s="112" t="s">
        <v>46</v>
      </c>
      <c r="W709" s="112" t="s">
        <v>1401</v>
      </c>
      <c r="X709" s="112" t="s">
        <v>2520</v>
      </c>
    </row>
    <row r="710" spans="2:24" ht="15.75" x14ac:dyDescent="0.25">
      <c r="B710" s="126">
        <v>44371</v>
      </c>
      <c r="C710" s="188" t="str">
        <f>TEXT(VEND[[#This Row],[Fecha de Envío
Cotización]],"mmmm")</f>
        <v>junio</v>
      </c>
      <c r="D710" s="66" t="s">
        <v>50</v>
      </c>
      <c r="E710" s="190" t="s">
        <v>88</v>
      </c>
      <c r="F710" s="125" t="str">
        <f>IF(VEND[[#This Row],[STATUS]]="PERDIDO","N/A","En espera")</f>
        <v>En espera</v>
      </c>
      <c r="G710" s="127" t="str">
        <f>TEXT(VEND[[#This Row],[Fecha Recibe
O.C]],"mmmm")</f>
        <v>En espera</v>
      </c>
      <c r="H710" s="128">
        <v>857</v>
      </c>
      <c r="I710" s="112" t="s">
        <v>283</v>
      </c>
      <c r="J710" s="128"/>
      <c r="K710" s="129">
        <v>1</v>
      </c>
      <c r="L710" s="189">
        <v>25602.42</v>
      </c>
      <c r="M710" s="112" t="s">
        <v>124</v>
      </c>
      <c r="N710" s="112">
        <v>35</v>
      </c>
      <c r="O710" s="212" t="str">
        <f>IF(VEND[[#This Row],[STATUS]]="O.C",(VEND[[#This Row],[Fecha Recibe
O.C]]+VEND[[#This Row],[Dias
entrega ]]),"")</f>
        <v/>
      </c>
      <c r="P710" s="216"/>
      <c r="Q710" s="129" t="str">
        <f>IFERROR(VEND[[#This Row],[Fecha de Despacho]]-VEND[[#This Row],[Fecha Estimada de Entrega a  Cliente]],"")</f>
        <v/>
      </c>
      <c r="R71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0" s="128" t="str">
        <f>IF(VEND[[#This Row],[STATUS]]="O.C","APROBADO",IF(VEND[[#This Row],[STATUS]]="PERDIDO","PERDIDO",IF(VEND[[#This Row],[STATUS]]="EN ESPERA","EN ESPERA")))</f>
        <v>EN ESPERA</v>
      </c>
      <c r="T710" s="128" t="str">
        <f>IF(VEND[[#This Row],[STATUS]]="O.C","APROBADO",IF(VEND[[#This Row],[STATUS]]="PERDIDO","PERDIDO",IF(VEND[[#This Row],[STATUS]]="EN ESPERA","EN ESPERA")))</f>
        <v>EN ESPERA</v>
      </c>
      <c r="U710" s="112" t="s">
        <v>46</v>
      </c>
      <c r="V710" s="112" t="s">
        <v>46</v>
      </c>
      <c r="W710" s="112" t="s">
        <v>1404</v>
      </c>
      <c r="X710" s="128"/>
    </row>
    <row r="711" spans="2:24" ht="15.75" x14ac:dyDescent="0.25">
      <c r="B711" s="126">
        <v>44371</v>
      </c>
      <c r="C711" s="188" t="str">
        <f>TEXT(VEND[[#This Row],[Fecha de Envío
Cotización]],"mmmm")</f>
        <v>junio</v>
      </c>
      <c r="D711" s="66" t="s">
        <v>68</v>
      </c>
      <c r="E711" s="190" t="s">
        <v>88</v>
      </c>
      <c r="F711" s="125" t="str">
        <f>IF(VEND[[#This Row],[STATUS]]="PERDIDO","N/A","En espera")</f>
        <v>En espera</v>
      </c>
      <c r="G711" s="127" t="str">
        <f>TEXT(VEND[[#This Row],[Fecha Recibe
O.C]],"mmmm")</f>
        <v>En espera</v>
      </c>
      <c r="H711" s="128">
        <v>858</v>
      </c>
      <c r="I711" s="112" t="s">
        <v>91</v>
      </c>
      <c r="J711" s="128"/>
      <c r="K711" s="129">
        <v>1</v>
      </c>
      <c r="L711" s="189">
        <v>267.81</v>
      </c>
      <c r="M711" s="112" t="s">
        <v>124</v>
      </c>
      <c r="N711" s="112">
        <v>35</v>
      </c>
      <c r="O711" s="212" t="str">
        <f>IF(VEND[[#This Row],[STATUS]]="O.C",(VEND[[#This Row],[Fecha Recibe
O.C]]+VEND[[#This Row],[Dias
entrega ]]),"")</f>
        <v/>
      </c>
      <c r="P711" s="216"/>
      <c r="Q711" s="129" t="str">
        <f>IFERROR(VEND[[#This Row],[Fecha de Despacho]]-VEND[[#This Row],[Fecha Estimada de Entrega a  Cliente]],"")</f>
        <v/>
      </c>
      <c r="R71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1" s="128" t="str">
        <f>IF(VEND[[#This Row],[STATUS]]="O.C","APROBADO",IF(VEND[[#This Row],[STATUS]]="PERDIDO","PERDIDO",IF(VEND[[#This Row],[STATUS]]="EN ESPERA","EN ESPERA")))</f>
        <v>EN ESPERA</v>
      </c>
      <c r="T711" s="128" t="str">
        <f>IF(VEND[[#This Row],[STATUS]]="O.C","APROBADO",IF(VEND[[#This Row],[STATUS]]="PERDIDO","PERDIDO",IF(VEND[[#This Row],[STATUS]]="EN ESPERA","EN ESPERA")))</f>
        <v>EN ESPERA</v>
      </c>
      <c r="U711" s="112" t="s">
        <v>46</v>
      </c>
      <c r="V711" s="112" t="s">
        <v>46</v>
      </c>
      <c r="W711" s="112" t="s">
        <v>1401</v>
      </c>
      <c r="X711" s="128"/>
    </row>
    <row r="712" spans="2:24" ht="15.75" x14ac:dyDescent="0.25">
      <c r="B712" s="126">
        <v>44371</v>
      </c>
      <c r="C712" s="188" t="str">
        <f>TEXT(VEND[[#This Row],[Fecha de Envío
Cotización]],"mmmm")</f>
        <v>junio</v>
      </c>
      <c r="D712" s="66" t="s">
        <v>1163</v>
      </c>
      <c r="E712" s="190" t="s">
        <v>83</v>
      </c>
      <c r="F712" s="125">
        <v>44378</v>
      </c>
      <c r="G712" s="127" t="str">
        <f>TEXT(VEND[[#This Row],[Fecha Recibe
O.C]],"mmmm")</f>
        <v>julio</v>
      </c>
      <c r="H712" s="128">
        <v>859</v>
      </c>
      <c r="I712" s="112" t="s">
        <v>1241</v>
      </c>
      <c r="J712" s="128"/>
      <c r="K712" s="129">
        <v>3</v>
      </c>
      <c r="L712" s="189">
        <v>24620.560000000001</v>
      </c>
      <c r="M712" s="112" t="s">
        <v>39</v>
      </c>
      <c r="N712" s="112">
        <v>42</v>
      </c>
      <c r="O712" s="212">
        <f>IF(VEND[[#This Row],[STATUS]]="O.C",(VEND[[#This Row],[Fecha Recibe
O.C]]+VEND[[#This Row],[Dias
entrega ]]),"")</f>
        <v>44420</v>
      </c>
      <c r="P712" s="216"/>
      <c r="Q712" s="129">
        <f>IFERROR(VEND[[#This Row],[Fecha de Despacho]]-VEND[[#This Row],[Fecha Estimada de Entrega a  Cliente]],"")</f>
        <v>-44420</v>
      </c>
      <c r="R71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2" s="128" t="str">
        <f>IF(VEND[[#This Row],[STATUS]]="O.C","APROBADO",IF(VEND[[#This Row],[STATUS]]="PERDIDO","PERDIDO",IF(VEND[[#This Row],[STATUS]]="EN ESPERA","EN ESPERA")))</f>
        <v>APROBADO</v>
      </c>
      <c r="T712" s="128" t="str">
        <f>IF(VEND[[#This Row],[STATUS]]="O.C","APROBADO",IF(VEND[[#This Row],[STATUS]]="PERDIDO","PERDIDO",IF(VEND[[#This Row],[STATUS]]="EN ESPERA","EN ESPERA")))</f>
        <v>APROBADO</v>
      </c>
      <c r="U712" s="112" t="s">
        <v>46</v>
      </c>
      <c r="V712" s="112" t="s">
        <v>46</v>
      </c>
      <c r="W712" s="112" t="s">
        <v>1409</v>
      </c>
      <c r="X712" s="112" t="s">
        <v>2582</v>
      </c>
    </row>
    <row r="713" spans="2:24" ht="15.75" x14ac:dyDescent="0.25">
      <c r="B713" s="126">
        <v>44371</v>
      </c>
      <c r="C713" s="188" t="str">
        <f>TEXT(VEND[[#This Row],[Fecha de Envío
Cotización]],"mmmm")</f>
        <v>junio</v>
      </c>
      <c r="D713" s="66" t="s">
        <v>68</v>
      </c>
      <c r="E713" s="190" t="s">
        <v>88</v>
      </c>
      <c r="F713" s="125" t="str">
        <f>IF(VEND[[#This Row],[STATUS]]="PERDIDO","N/A","En espera")</f>
        <v>En espera</v>
      </c>
      <c r="G713" s="127" t="str">
        <f>TEXT(VEND[[#This Row],[Fecha Recibe
O.C]],"mmmm")</f>
        <v>En espera</v>
      </c>
      <c r="H713" s="128">
        <v>860</v>
      </c>
      <c r="I713" s="112" t="s">
        <v>91</v>
      </c>
      <c r="J713" s="128"/>
      <c r="K713" s="129">
        <v>1</v>
      </c>
      <c r="L713" s="189">
        <v>565.11</v>
      </c>
      <c r="M713" s="112" t="s">
        <v>73</v>
      </c>
      <c r="N713" s="112">
        <v>14</v>
      </c>
      <c r="O713" s="212" t="str">
        <f>IF(VEND[[#This Row],[STATUS]]="O.C",(VEND[[#This Row],[Fecha Recibe
O.C]]+VEND[[#This Row],[Dias
entrega ]]),"")</f>
        <v/>
      </c>
      <c r="P713" s="216"/>
      <c r="Q713" s="129" t="str">
        <f>IFERROR(VEND[[#This Row],[Fecha de Despacho]]-VEND[[#This Row],[Fecha Estimada de Entrega a  Cliente]],"")</f>
        <v/>
      </c>
      <c r="R71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3" s="128" t="str">
        <f>IF(VEND[[#This Row],[STATUS]]="O.C","APROBADO",IF(VEND[[#This Row],[STATUS]]="PERDIDO","PERDIDO",IF(VEND[[#This Row],[STATUS]]="EN ESPERA","EN ESPERA")))</f>
        <v>EN ESPERA</v>
      </c>
      <c r="T713" s="128" t="str">
        <f>IF(VEND[[#This Row],[STATUS]]="O.C","APROBADO",IF(VEND[[#This Row],[STATUS]]="PERDIDO","PERDIDO",IF(VEND[[#This Row],[STATUS]]="EN ESPERA","EN ESPERA")))</f>
        <v>EN ESPERA</v>
      </c>
      <c r="U713" s="112" t="s">
        <v>46</v>
      </c>
      <c r="V713" s="112" t="s">
        <v>46</v>
      </c>
      <c r="W713" s="112" t="s">
        <v>1401</v>
      </c>
      <c r="X713" s="128"/>
    </row>
    <row r="714" spans="2:24" ht="15.75" x14ac:dyDescent="0.25">
      <c r="B714" s="126">
        <v>44371</v>
      </c>
      <c r="C714" s="188" t="str">
        <f>TEXT(VEND[[#This Row],[Fecha de Envío
Cotización]],"mmmm")</f>
        <v>junio</v>
      </c>
      <c r="D714" s="66" t="s">
        <v>945</v>
      </c>
      <c r="E714" s="190" t="s">
        <v>88</v>
      </c>
      <c r="F714" s="125" t="str">
        <f>IF(VEND[[#This Row],[STATUS]]="PERDIDO","N/A","En espera")</f>
        <v>En espera</v>
      </c>
      <c r="G714" s="127" t="str">
        <f>TEXT(VEND[[#This Row],[Fecha Recibe
O.C]],"mmmm")</f>
        <v>En espera</v>
      </c>
      <c r="H714" s="128">
        <v>861</v>
      </c>
      <c r="I714" s="112" t="s">
        <v>130</v>
      </c>
      <c r="J714" s="128"/>
      <c r="K714" s="129">
        <v>1</v>
      </c>
      <c r="L714" s="189">
        <v>577.16</v>
      </c>
      <c r="M714" s="112" t="s">
        <v>124</v>
      </c>
      <c r="N714" s="112">
        <v>35</v>
      </c>
      <c r="O714" s="212" t="str">
        <f>IF(VEND[[#This Row],[STATUS]]="O.C",(VEND[[#This Row],[Fecha Recibe
O.C]]+VEND[[#This Row],[Dias
entrega ]]),"")</f>
        <v/>
      </c>
      <c r="P714" s="216"/>
      <c r="Q714" s="129" t="str">
        <f>IFERROR(VEND[[#This Row],[Fecha de Despacho]]-VEND[[#This Row],[Fecha Estimada de Entrega a  Cliente]],"")</f>
        <v/>
      </c>
      <c r="R71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4" s="128" t="str">
        <f>IF(VEND[[#This Row],[STATUS]]="O.C","APROBADO",IF(VEND[[#This Row],[STATUS]]="PERDIDO","PERDIDO",IF(VEND[[#This Row],[STATUS]]="EN ESPERA","EN ESPERA")))</f>
        <v>EN ESPERA</v>
      </c>
      <c r="T714" s="128" t="str">
        <f>IF(VEND[[#This Row],[STATUS]]="O.C","APROBADO",IF(VEND[[#This Row],[STATUS]]="PERDIDO","PERDIDO",IF(VEND[[#This Row],[STATUS]]="EN ESPERA","EN ESPERA")))</f>
        <v>EN ESPERA</v>
      </c>
      <c r="U714" s="112" t="s">
        <v>46</v>
      </c>
      <c r="V714" s="112" t="s">
        <v>46</v>
      </c>
      <c r="W714" s="112" t="s">
        <v>1409</v>
      </c>
      <c r="X714" s="128"/>
    </row>
    <row r="715" spans="2:24" ht="15.75" x14ac:dyDescent="0.25">
      <c r="B715" s="126">
        <v>44371</v>
      </c>
      <c r="C715" s="188" t="str">
        <f>TEXT(VEND[[#This Row],[Fecha de Envío
Cotización]],"mmmm")</f>
        <v>junio</v>
      </c>
      <c r="D715" s="66" t="s">
        <v>945</v>
      </c>
      <c r="E715" s="190" t="s">
        <v>88</v>
      </c>
      <c r="F715" s="125" t="str">
        <f>IF(VEND[[#This Row],[STATUS]]="PERDIDO","N/A","En espera")</f>
        <v>En espera</v>
      </c>
      <c r="G715" s="127" t="str">
        <f>TEXT(VEND[[#This Row],[Fecha Recibe
O.C]],"mmmm")</f>
        <v>En espera</v>
      </c>
      <c r="H715" s="128">
        <v>862</v>
      </c>
      <c r="I715" s="112" t="s">
        <v>31</v>
      </c>
      <c r="J715" s="128"/>
      <c r="K715" s="129">
        <v>1</v>
      </c>
      <c r="L715" s="189">
        <v>1529.22</v>
      </c>
      <c r="M715" s="112" t="s">
        <v>62</v>
      </c>
      <c r="N715" s="112">
        <v>3</v>
      </c>
      <c r="O715" s="212" t="str">
        <f>IF(VEND[[#This Row],[STATUS]]="O.C",(VEND[[#This Row],[Fecha Recibe
O.C]]+VEND[[#This Row],[Dias
entrega ]]),"")</f>
        <v/>
      </c>
      <c r="P715" s="216"/>
      <c r="Q715" s="129" t="str">
        <f>IFERROR(VEND[[#This Row],[Fecha de Despacho]]-VEND[[#This Row],[Fecha Estimada de Entrega a  Cliente]],"")</f>
        <v/>
      </c>
      <c r="R71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5" s="128" t="str">
        <f>IF(VEND[[#This Row],[STATUS]]="O.C","APROBADO",IF(VEND[[#This Row],[STATUS]]="PERDIDO","PERDIDO",IF(VEND[[#This Row],[STATUS]]="EN ESPERA","EN ESPERA")))</f>
        <v>EN ESPERA</v>
      </c>
      <c r="T715" s="128" t="str">
        <f>IF(VEND[[#This Row],[STATUS]]="O.C","APROBADO",IF(VEND[[#This Row],[STATUS]]="PERDIDO","PERDIDO",IF(VEND[[#This Row],[STATUS]]="EN ESPERA","EN ESPERA")))</f>
        <v>EN ESPERA</v>
      </c>
      <c r="U715" s="112" t="s">
        <v>46</v>
      </c>
      <c r="V715" s="112" t="s">
        <v>46</v>
      </c>
      <c r="W715" s="112" t="s">
        <v>1410</v>
      </c>
      <c r="X715" s="128"/>
    </row>
    <row r="716" spans="2:24" ht="15.75" x14ac:dyDescent="0.25">
      <c r="B716" s="126">
        <v>44371</v>
      </c>
      <c r="C716" s="188" t="str">
        <f>TEXT(VEND[[#This Row],[Fecha de Envío
Cotización]],"mmmm")</f>
        <v>junio</v>
      </c>
      <c r="D716" s="66" t="s">
        <v>41</v>
      </c>
      <c r="E716" s="190" t="s">
        <v>88</v>
      </c>
      <c r="F716" s="125" t="str">
        <f>IF(VEND[[#This Row],[STATUS]]="PERDIDO","N/A","En espera")</f>
        <v>En espera</v>
      </c>
      <c r="G716" s="127" t="str">
        <f>TEXT(VEND[[#This Row],[Fecha Recibe
O.C]],"mmmm")</f>
        <v>En espera</v>
      </c>
      <c r="H716" s="128">
        <v>3553</v>
      </c>
      <c r="I716" s="112" t="s">
        <v>1766</v>
      </c>
      <c r="J716" s="128"/>
      <c r="K716" s="129">
        <v>1</v>
      </c>
      <c r="L716" s="189">
        <v>2756.63</v>
      </c>
      <c r="M716" s="112" t="s">
        <v>16</v>
      </c>
      <c r="N716" s="112">
        <v>21</v>
      </c>
      <c r="O716" s="212" t="str">
        <f>IF(VEND[[#This Row],[STATUS]]="O.C",(VEND[[#This Row],[Fecha Recibe
O.C]]+VEND[[#This Row],[Dias
entrega ]]),"")</f>
        <v/>
      </c>
      <c r="P716" s="216"/>
      <c r="Q716" s="129" t="str">
        <f>IFERROR(VEND[[#This Row],[Fecha de Despacho]]-VEND[[#This Row],[Fecha Estimada de Entrega a  Cliente]],"")</f>
        <v/>
      </c>
      <c r="R71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6" s="128" t="str">
        <f>IF(VEND[[#This Row],[STATUS]]="O.C","APROBADO",IF(VEND[[#This Row],[STATUS]]="PERDIDO","PERDIDO",IF(VEND[[#This Row],[STATUS]]="EN ESPERA","EN ESPERA")))</f>
        <v>EN ESPERA</v>
      </c>
      <c r="T716" s="128" t="str">
        <f>IF(VEND[[#This Row],[STATUS]]="O.C","APROBADO",IF(VEND[[#This Row],[STATUS]]="PERDIDO","PERDIDO",IF(VEND[[#This Row],[STATUS]]="EN ESPERA","EN ESPERA")))</f>
        <v>EN ESPERA</v>
      </c>
      <c r="U716" s="112" t="s">
        <v>46</v>
      </c>
      <c r="V716" s="112" t="s">
        <v>46</v>
      </c>
      <c r="W716" s="112" t="s">
        <v>1402</v>
      </c>
      <c r="X716" s="128"/>
    </row>
    <row r="717" spans="2:24" ht="15.75" x14ac:dyDescent="0.25">
      <c r="B717" s="126">
        <v>44371</v>
      </c>
      <c r="C717" s="188" t="str">
        <f>TEXT(VEND[[#This Row],[Fecha de Envío
Cotización]],"mmmm")</f>
        <v>junio</v>
      </c>
      <c r="D717" s="66" t="s">
        <v>41</v>
      </c>
      <c r="E717" s="190" t="s">
        <v>88</v>
      </c>
      <c r="F717" s="125" t="str">
        <f>IF(VEND[[#This Row],[STATUS]]="PERDIDO","N/A","En espera")</f>
        <v>En espera</v>
      </c>
      <c r="G717" s="127" t="str">
        <f>TEXT(VEND[[#This Row],[Fecha Recibe
O.C]],"mmmm")</f>
        <v>En espera</v>
      </c>
      <c r="H717" s="128">
        <v>3554</v>
      </c>
      <c r="I717" s="112" t="s">
        <v>2411</v>
      </c>
      <c r="J717" s="128"/>
      <c r="K717" s="129">
        <v>1</v>
      </c>
      <c r="L717" s="189">
        <v>902</v>
      </c>
      <c r="M717" s="112" t="s">
        <v>73</v>
      </c>
      <c r="N717" s="112">
        <v>14</v>
      </c>
      <c r="O717" s="212" t="str">
        <f>IF(VEND[[#This Row],[STATUS]]="O.C",(VEND[[#This Row],[Fecha Recibe
O.C]]+VEND[[#This Row],[Dias
entrega ]]),"")</f>
        <v/>
      </c>
      <c r="P717" s="216"/>
      <c r="Q717" s="129" t="str">
        <f>IFERROR(VEND[[#This Row],[Fecha de Despacho]]-VEND[[#This Row],[Fecha Estimada de Entrega a  Cliente]],"")</f>
        <v/>
      </c>
      <c r="R71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7" s="128" t="str">
        <f>IF(VEND[[#This Row],[STATUS]]="O.C","APROBADO",IF(VEND[[#This Row],[STATUS]]="PERDIDO","PERDIDO",IF(VEND[[#This Row],[STATUS]]="EN ESPERA","EN ESPERA")))</f>
        <v>EN ESPERA</v>
      </c>
      <c r="T717" s="128" t="str">
        <f>IF(VEND[[#This Row],[STATUS]]="O.C","APROBADO",IF(VEND[[#This Row],[STATUS]]="PERDIDO","PERDIDO",IF(VEND[[#This Row],[STATUS]]="EN ESPERA","EN ESPERA")))</f>
        <v>EN ESPERA</v>
      </c>
      <c r="U717" s="112" t="s">
        <v>46</v>
      </c>
      <c r="V717" s="112" t="s">
        <v>46</v>
      </c>
      <c r="W717" s="112" t="s">
        <v>1406</v>
      </c>
      <c r="X717" s="128"/>
    </row>
    <row r="718" spans="2:24" ht="15.75" x14ac:dyDescent="0.25">
      <c r="B718" s="71">
        <v>44372</v>
      </c>
      <c r="C718" s="195" t="str">
        <f>TEXT(VEND[[#This Row],[Fecha de Envío
Cotización]],"mmmm")</f>
        <v>junio</v>
      </c>
      <c r="D718" s="66" t="s">
        <v>68</v>
      </c>
      <c r="E718" s="190" t="s">
        <v>88</v>
      </c>
      <c r="F718" s="125" t="str">
        <f>IF(VEND[[#This Row],[STATUS]]="PERDIDO","N/A","En espera")</f>
        <v>En espera</v>
      </c>
      <c r="G718" s="93" t="str">
        <f>TEXT(VEND[[#This Row],[Fecha Recibe
O.C]],"mmmm")</f>
        <v>En espera</v>
      </c>
      <c r="H718" s="112">
        <v>863</v>
      </c>
      <c r="I718" s="112" t="s">
        <v>109</v>
      </c>
      <c r="J718" s="112"/>
      <c r="K718" s="58">
        <v>1</v>
      </c>
      <c r="L718" s="123">
        <v>364.67</v>
      </c>
      <c r="M718" s="112" t="s">
        <v>36</v>
      </c>
      <c r="N718" s="112">
        <v>28</v>
      </c>
      <c r="O718" s="212" t="str">
        <f>IF(VEND[[#This Row],[STATUS]]="O.C",(VEND[[#This Row],[Fecha Recibe
O.C]]+VEND[[#This Row],[Dias
entrega ]]),"")</f>
        <v/>
      </c>
      <c r="P718" s="212"/>
      <c r="Q718" s="58" t="str">
        <f>IFERROR(VEND[[#This Row],[Fecha de Despacho]]-VEND[[#This Row],[Fecha Estimada de Entrega a  Cliente]],"")</f>
        <v/>
      </c>
      <c r="R718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8" s="112" t="str">
        <f>IF(VEND[[#This Row],[STATUS]]="O.C","APROBADO",IF(VEND[[#This Row],[STATUS]]="PERDIDO","PERDIDO",IF(VEND[[#This Row],[STATUS]]="EN ESPERA","EN ESPERA")))</f>
        <v>EN ESPERA</v>
      </c>
      <c r="T718" s="112" t="str">
        <f>IF(VEND[[#This Row],[STATUS]]="O.C","APROBADO",IF(VEND[[#This Row],[STATUS]]="PERDIDO","PERDIDO",IF(VEND[[#This Row],[STATUS]]="EN ESPERA","EN ESPERA")))</f>
        <v>EN ESPERA</v>
      </c>
      <c r="U718" s="112" t="s">
        <v>46</v>
      </c>
      <c r="V718" s="112" t="s">
        <v>46</v>
      </c>
      <c r="W718" s="112" t="s">
        <v>1401</v>
      </c>
      <c r="X718" s="112"/>
    </row>
    <row r="719" spans="2:24" ht="15.75" x14ac:dyDescent="0.25">
      <c r="B719" s="71">
        <v>44372</v>
      </c>
      <c r="C719" s="195" t="str">
        <f>TEXT(VEND[[#This Row],[Fecha de Envío
Cotización]],"mmmm")</f>
        <v>junio</v>
      </c>
      <c r="D719" s="66" t="s">
        <v>50</v>
      </c>
      <c r="E719" s="190" t="s">
        <v>88</v>
      </c>
      <c r="F719" s="125" t="str">
        <f>IF(VEND[[#This Row],[STATUS]]="PERDIDO","N/A","En espera")</f>
        <v>En espera</v>
      </c>
      <c r="G719" s="93" t="str">
        <f>TEXT(VEND[[#This Row],[Fecha Recibe
O.C]],"mmmm")</f>
        <v>En espera</v>
      </c>
      <c r="H719" s="112">
        <v>864</v>
      </c>
      <c r="I719" s="112" t="s">
        <v>33</v>
      </c>
      <c r="J719" s="112"/>
      <c r="K719" s="58">
        <v>1</v>
      </c>
      <c r="L719" s="123">
        <v>592.20000000000005</v>
      </c>
      <c r="M719" s="112" t="s">
        <v>16</v>
      </c>
      <c r="N719" s="112">
        <v>21</v>
      </c>
      <c r="O719" s="212" t="str">
        <f>IF(VEND[[#This Row],[STATUS]]="O.C",(VEND[[#This Row],[Fecha Recibe
O.C]]+VEND[[#This Row],[Dias
entrega ]]),"")</f>
        <v/>
      </c>
      <c r="P719" s="212"/>
      <c r="Q719" s="58" t="str">
        <f>IFERROR(VEND[[#This Row],[Fecha de Despacho]]-VEND[[#This Row],[Fecha Estimada de Entrega a  Cliente]],"")</f>
        <v/>
      </c>
      <c r="R719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19" s="112" t="str">
        <f>IF(VEND[[#This Row],[STATUS]]="O.C","APROBADO",IF(VEND[[#This Row],[STATUS]]="PERDIDO","PERDIDO",IF(VEND[[#This Row],[STATUS]]="EN ESPERA","EN ESPERA")))</f>
        <v>EN ESPERA</v>
      </c>
      <c r="T719" s="112" t="str">
        <f>IF(VEND[[#This Row],[STATUS]]="O.C","APROBADO",IF(VEND[[#This Row],[STATUS]]="PERDIDO","PERDIDO",IF(VEND[[#This Row],[STATUS]]="EN ESPERA","EN ESPERA")))</f>
        <v>EN ESPERA</v>
      </c>
      <c r="U719" s="112" t="s">
        <v>46</v>
      </c>
      <c r="V719" s="112" t="s">
        <v>46</v>
      </c>
      <c r="W719" s="112" t="s">
        <v>1402</v>
      </c>
      <c r="X719" s="112"/>
    </row>
    <row r="720" spans="2:24" ht="15.75" x14ac:dyDescent="0.25">
      <c r="B720" s="71">
        <v>44372</v>
      </c>
      <c r="C720" s="195" t="str">
        <f>TEXT(VEND[[#This Row],[Fecha de Envío
Cotización]],"mmmm")</f>
        <v>junio</v>
      </c>
      <c r="D720" s="66" t="s">
        <v>945</v>
      </c>
      <c r="E720" s="190" t="s">
        <v>88</v>
      </c>
      <c r="F720" s="125" t="str">
        <f>IF(VEND[[#This Row],[STATUS]]="PERDIDO","N/A","En espera")</f>
        <v>En espera</v>
      </c>
      <c r="G720" s="93" t="str">
        <f>TEXT(VEND[[#This Row],[Fecha Recibe
O.C]],"mmmm")</f>
        <v>En espera</v>
      </c>
      <c r="H720" s="112">
        <v>865</v>
      </c>
      <c r="I720" s="112" t="s">
        <v>31</v>
      </c>
      <c r="J720" s="112"/>
      <c r="K720" s="58">
        <v>7</v>
      </c>
      <c r="L720" s="123">
        <v>1204.32</v>
      </c>
      <c r="M720" s="112" t="s">
        <v>62</v>
      </c>
      <c r="N720" s="112">
        <v>3</v>
      </c>
      <c r="O720" s="212" t="str">
        <f>IF(VEND[[#This Row],[STATUS]]="O.C",(VEND[[#This Row],[Fecha Recibe
O.C]]+VEND[[#This Row],[Dias
entrega ]]),"")</f>
        <v/>
      </c>
      <c r="P720" s="212"/>
      <c r="Q720" s="58" t="str">
        <f>IFERROR(VEND[[#This Row],[Fecha de Despacho]]-VEND[[#This Row],[Fecha Estimada de Entrega a  Cliente]],"")</f>
        <v/>
      </c>
      <c r="R720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0" s="112" t="str">
        <f>IF(VEND[[#This Row],[STATUS]]="O.C","APROBADO",IF(VEND[[#This Row],[STATUS]]="PERDIDO","PERDIDO",IF(VEND[[#This Row],[STATUS]]="EN ESPERA","EN ESPERA")))</f>
        <v>EN ESPERA</v>
      </c>
      <c r="T720" s="112" t="str">
        <f>IF(VEND[[#This Row],[STATUS]]="O.C","APROBADO",IF(VEND[[#This Row],[STATUS]]="PERDIDO","PERDIDO",IF(VEND[[#This Row],[STATUS]]="EN ESPERA","EN ESPERA")))</f>
        <v>EN ESPERA</v>
      </c>
      <c r="U720" s="112" t="s">
        <v>46</v>
      </c>
      <c r="V720" s="112" t="s">
        <v>46</v>
      </c>
      <c r="W720" s="112" t="s">
        <v>1410</v>
      </c>
      <c r="X720" s="112"/>
    </row>
    <row r="721" spans="2:24" ht="15.75" x14ac:dyDescent="0.25">
      <c r="B721" s="71">
        <v>44372</v>
      </c>
      <c r="C721" s="195" t="str">
        <f>TEXT(VEND[[#This Row],[Fecha de Envío
Cotización]],"mmmm")</f>
        <v>junio</v>
      </c>
      <c r="D721" s="66" t="s">
        <v>945</v>
      </c>
      <c r="E721" s="190" t="s">
        <v>88</v>
      </c>
      <c r="F721" s="125" t="str">
        <f>IF(VEND[[#This Row],[STATUS]]="PERDIDO","N/A","En espera")</f>
        <v>En espera</v>
      </c>
      <c r="G721" s="93" t="str">
        <f>TEXT(VEND[[#This Row],[Fecha Recibe
O.C]],"mmmm")</f>
        <v>En espera</v>
      </c>
      <c r="H721" s="112">
        <v>866</v>
      </c>
      <c r="I721" s="112" t="s">
        <v>31</v>
      </c>
      <c r="J721" s="112"/>
      <c r="K721" s="58">
        <v>7</v>
      </c>
      <c r="L721" s="123">
        <v>660.9</v>
      </c>
      <c r="M721" s="112" t="s">
        <v>62</v>
      </c>
      <c r="N721" s="112">
        <v>3</v>
      </c>
      <c r="O721" s="212" t="str">
        <f>IF(VEND[[#This Row],[STATUS]]="O.C",(VEND[[#This Row],[Fecha Recibe
O.C]]+VEND[[#This Row],[Dias
entrega ]]),"")</f>
        <v/>
      </c>
      <c r="P721" s="212"/>
      <c r="Q721" s="58" t="str">
        <f>IFERROR(VEND[[#This Row],[Fecha de Despacho]]-VEND[[#This Row],[Fecha Estimada de Entrega a  Cliente]],"")</f>
        <v/>
      </c>
      <c r="R721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1" s="112" t="str">
        <f>IF(VEND[[#This Row],[STATUS]]="O.C","APROBADO",IF(VEND[[#This Row],[STATUS]]="PERDIDO","PERDIDO",IF(VEND[[#This Row],[STATUS]]="EN ESPERA","EN ESPERA")))</f>
        <v>EN ESPERA</v>
      </c>
      <c r="T721" s="112" t="str">
        <f>IF(VEND[[#This Row],[STATUS]]="O.C","APROBADO",IF(VEND[[#This Row],[STATUS]]="PERDIDO","PERDIDO",IF(VEND[[#This Row],[STATUS]]="EN ESPERA","EN ESPERA")))</f>
        <v>EN ESPERA</v>
      </c>
      <c r="U721" s="112" t="s">
        <v>46</v>
      </c>
      <c r="V721" s="112" t="s">
        <v>46</v>
      </c>
      <c r="W721" s="112" t="s">
        <v>1410</v>
      </c>
      <c r="X721" s="112"/>
    </row>
    <row r="722" spans="2:24" ht="15.75" x14ac:dyDescent="0.25">
      <c r="B722" s="126">
        <v>44372</v>
      </c>
      <c r="C722" s="188" t="str">
        <f>TEXT(VEND[[#This Row],[Fecha de Envío
Cotización]],"mmmm")</f>
        <v>junio</v>
      </c>
      <c r="D722" s="66" t="s">
        <v>50</v>
      </c>
      <c r="E722" s="190" t="s">
        <v>88</v>
      </c>
      <c r="F722" s="125" t="str">
        <f>IF(VEND[[#This Row],[STATUS]]="PERDIDO","N/A","En espera")</f>
        <v>En espera</v>
      </c>
      <c r="G722" s="127" t="str">
        <f>TEXT(VEND[[#This Row],[Fecha Recibe
O.C]],"mmmm")</f>
        <v>En espera</v>
      </c>
      <c r="H722" s="128">
        <v>867</v>
      </c>
      <c r="I722" s="112" t="s">
        <v>126</v>
      </c>
      <c r="J722" s="128"/>
      <c r="K722" s="129">
        <v>2</v>
      </c>
      <c r="L722" s="189">
        <v>1125.0899999999999</v>
      </c>
      <c r="M722" s="112" t="s">
        <v>36</v>
      </c>
      <c r="N722" s="112">
        <v>28</v>
      </c>
      <c r="O722" s="212" t="str">
        <f>IF(VEND[[#This Row],[STATUS]]="O.C",(VEND[[#This Row],[Fecha Recibe
O.C]]+VEND[[#This Row],[Dias
entrega ]]),"")</f>
        <v/>
      </c>
      <c r="P722" s="216"/>
      <c r="Q722" s="129" t="str">
        <f>IFERROR(VEND[[#This Row],[Fecha de Despacho]]-VEND[[#This Row],[Fecha Estimada de Entrega a  Cliente]],"")</f>
        <v/>
      </c>
      <c r="R72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2" s="128" t="str">
        <f>IF(VEND[[#This Row],[STATUS]]="O.C","APROBADO",IF(VEND[[#This Row],[STATUS]]="PERDIDO","PERDIDO",IF(VEND[[#This Row],[STATUS]]="EN ESPERA","EN ESPERA")))</f>
        <v>EN ESPERA</v>
      </c>
      <c r="T722" s="128" t="str">
        <f>IF(VEND[[#This Row],[STATUS]]="O.C","APROBADO",IF(VEND[[#This Row],[STATUS]]="PERDIDO","PERDIDO",IF(VEND[[#This Row],[STATUS]]="EN ESPERA","EN ESPERA")))</f>
        <v>EN ESPERA</v>
      </c>
      <c r="U722" s="112" t="s">
        <v>46</v>
      </c>
      <c r="V722" s="112" t="s">
        <v>46</v>
      </c>
      <c r="W722" s="112" t="s">
        <v>1401</v>
      </c>
      <c r="X722" s="128"/>
    </row>
    <row r="723" spans="2:24" ht="15.75" x14ac:dyDescent="0.25">
      <c r="B723" s="71">
        <v>44372</v>
      </c>
      <c r="C723" s="195" t="str">
        <f>TEXT(VEND[[#This Row],[Fecha de Envío
Cotización]],"mmmm")</f>
        <v>junio</v>
      </c>
      <c r="D723" s="66" t="s">
        <v>41</v>
      </c>
      <c r="E723" s="190" t="s">
        <v>42</v>
      </c>
      <c r="F723" s="125" t="str">
        <f>IF(VEND[[#This Row],[STATUS]]="PERDIDO","N/A","En espera")</f>
        <v>N/A</v>
      </c>
      <c r="G723" s="93" t="str">
        <f>TEXT(VEND[[#This Row],[Fecha Recibe
O.C]],"mmmm")</f>
        <v>N/A</v>
      </c>
      <c r="H723" s="112">
        <v>3555</v>
      </c>
      <c r="I723" s="112" t="s">
        <v>76</v>
      </c>
      <c r="J723" s="112"/>
      <c r="K723" s="58">
        <v>1</v>
      </c>
      <c r="L723" s="123">
        <v>1357.81</v>
      </c>
      <c r="M723" s="112" t="s">
        <v>73</v>
      </c>
      <c r="N723" s="112">
        <v>14</v>
      </c>
      <c r="O723" s="212" t="str">
        <f>IF(VEND[[#This Row],[STATUS]]="O.C",(VEND[[#This Row],[Fecha Recibe
O.C]]+VEND[[#This Row],[Dias
entrega ]]),"")</f>
        <v/>
      </c>
      <c r="P723" s="212"/>
      <c r="Q723" s="58" t="str">
        <f>IFERROR(VEND[[#This Row],[Fecha de Despacho]]-VEND[[#This Row],[Fecha Estimada de Entrega a  Cliente]],"")</f>
        <v/>
      </c>
      <c r="R72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3" s="112" t="str">
        <f>IF(VEND[[#This Row],[STATUS]]="O.C","APROBADO",IF(VEND[[#This Row],[STATUS]]="PERDIDO","PERDIDO",IF(VEND[[#This Row],[STATUS]]="EN ESPERA","EN ESPERA")))</f>
        <v>PERDIDO</v>
      </c>
      <c r="T723" s="112" t="str">
        <f>IF(VEND[[#This Row],[STATUS]]="O.C","APROBADO",IF(VEND[[#This Row],[STATUS]]="PERDIDO","PERDIDO",IF(VEND[[#This Row],[STATUS]]="EN ESPERA","EN ESPERA")))</f>
        <v>PERDIDO</v>
      </c>
      <c r="U723" s="112" t="s">
        <v>46</v>
      </c>
      <c r="V723" s="112" t="s">
        <v>46</v>
      </c>
      <c r="W723" s="112" t="s">
        <v>1402</v>
      </c>
      <c r="X723" s="112"/>
    </row>
    <row r="724" spans="2:24" ht="15.75" x14ac:dyDescent="0.25">
      <c r="B724" s="71">
        <v>44372</v>
      </c>
      <c r="C724" s="195" t="str">
        <f>TEXT(VEND[[#This Row],[Fecha de Envío
Cotización]],"mmmm")</f>
        <v>junio</v>
      </c>
      <c r="D724" s="66" t="s">
        <v>41</v>
      </c>
      <c r="E724" s="190" t="s">
        <v>83</v>
      </c>
      <c r="F724" s="125">
        <v>44376</v>
      </c>
      <c r="G724" s="93" t="str">
        <f>TEXT(VEND[[#This Row],[Fecha Recibe
O.C]],"mmmm")</f>
        <v>junio</v>
      </c>
      <c r="H724" s="112">
        <v>3556</v>
      </c>
      <c r="I724" s="112" t="s">
        <v>76</v>
      </c>
      <c r="J724" s="112"/>
      <c r="K724" s="58">
        <v>1</v>
      </c>
      <c r="L724" s="123">
        <v>253.6</v>
      </c>
      <c r="M724" s="112" t="s">
        <v>73</v>
      </c>
      <c r="N724" s="112">
        <v>14</v>
      </c>
      <c r="O724" s="212">
        <f>IF(VEND[[#This Row],[STATUS]]="O.C",(VEND[[#This Row],[Fecha Recibe
O.C]]+VEND[[#This Row],[Dias
entrega ]]),"")</f>
        <v>44390</v>
      </c>
      <c r="P724" s="212"/>
      <c r="Q724" s="58">
        <f>IFERROR(VEND[[#This Row],[Fecha de Despacho]]-VEND[[#This Row],[Fecha Estimada de Entrega a  Cliente]],"")</f>
        <v>-44390</v>
      </c>
      <c r="R724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4" s="112" t="str">
        <f>IF(VEND[[#This Row],[STATUS]]="O.C","APROBADO",IF(VEND[[#This Row],[STATUS]]="PERDIDO","PERDIDO",IF(VEND[[#This Row],[STATUS]]="EN ESPERA","EN ESPERA")))</f>
        <v>APROBADO</v>
      </c>
      <c r="T724" s="112" t="str">
        <f>IF(VEND[[#This Row],[STATUS]]="O.C","APROBADO",IF(VEND[[#This Row],[STATUS]]="PERDIDO","PERDIDO",IF(VEND[[#This Row],[STATUS]]="EN ESPERA","EN ESPERA")))</f>
        <v>APROBADO</v>
      </c>
      <c r="U724" s="112" t="s">
        <v>46</v>
      </c>
      <c r="V724" s="112" t="s">
        <v>46</v>
      </c>
      <c r="W724" s="112" t="s">
        <v>1402</v>
      </c>
      <c r="X724" s="112"/>
    </row>
    <row r="725" spans="2:24" ht="15.75" x14ac:dyDescent="0.25">
      <c r="B725" s="126">
        <v>44375</v>
      </c>
      <c r="C725" s="188" t="str">
        <f>TEXT(VEND[[#This Row],[Fecha de Envío
Cotización]],"mmmm")</f>
        <v>junio</v>
      </c>
      <c r="D725" s="66" t="s">
        <v>50</v>
      </c>
      <c r="E725" s="190" t="s">
        <v>88</v>
      </c>
      <c r="F725" s="125" t="str">
        <f>IF(VEND[[#This Row],[STATUS]]="PERDIDO","N/A","En espera")</f>
        <v>En espera</v>
      </c>
      <c r="G725" s="127" t="str">
        <f>TEXT(VEND[[#This Row],[Fecha Recibe
O.C]],"mmmm")</f>
        <v>En espera</v>
      </c>
      <c r="H725" s="128">
        <v>869</v>
      </c>
      <c r="I725" s="112" t="s">
        <v>283</v>
      </c>
      <c r="J725" s="128"/>
      <c r="K725" s="129">
        <v>1</v>
      </c>
      <c r="L725" s="189">
        <v>9352</v>
      </c>
      <c r="M725" s="112" t="s">
        <v>2480</v>
      </c>
      <c r="N725" s="112">
        <v>63</v>
      </c>
      <c r="O725" s="212" t="str">
        <f>IF(VEND[[#This Row],[STATUS]]="O.C",(VEND[[#This Row],[Fecha Recibe
O.C]]+VEND[[#This Row],[Dias
entrega ]]),"")</f>
        <v/>
      </c>
      <c r="P725" s="216"/>
      <c r="Q725" s="129" t="str">
        <f>IFERROR(VEND[[#This Row],[Fecha de Despacho]]-VEND[[#This Row],[Fecha Estimada de Entrega a  Cliente]],"")</f>
        <v/>
      </c>
      <c r="R72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5" s="128" t="str">
        <f>IF(VEND[[#This Row],[STATUS]]="O.C","APROBADO",IF(VEND[[#This Row],[STATUS]]="PERDIDO","PERDIDO",IF(VEND[[#This Row],[STATUS]]="EN ESPERA","EN ESPERA")))</f>
        <v>EN ESPERA</v>
      </c>
      <c r="T725" s="128" t="str">
        <f>IF(VEND[[#This Row],[STATUS]]="O.C","APROBADO",IF(VEND[[#This Row],[STATUS]]="PERDIDO","PERDIDO",IF(VEND[[#This Row],[STATUS]]="EN ESPERA","EN ESPERA")))</f>
        <v>EN ESPERA</v>
      </c>
      <c r="U725" s="112" t="s">
        <v>46</v>
      </c>
      <c r="V725" s="112" t="s">
        <v>46</v>
      </c>
      <c r="W725" s="112" t="s">
        <v>1406</v>
      </c>
      <c r="X725" s="128"/>
    </row>
    <row r="726" spans="2:24" ht="15.75" x14ac:dyDescent="0.25">
      <c r="B726" s="126">
        <v>44375</v>
      </c>
      <c r="C726" s="188" t="str">
        <f>TEXT(VEND[[#This Row],[Fecha de Envío
Cotización]],"mmmm")</f>
        <v>junio</v>
      </c>
      <c r="D726" s="66" t="s">
        <v>68</v>
      </c>
      <c r="E726" s="190" t="s">
        <v>88</v>
      </c>
      <c r="F726" s="125" t="str">
        <f>IF(VEND[[#This Row],[STATUS]]="PERDIDO","N/A","En espera")</f>
        <v>En espera</v>
      </c>
      <c r="G726" s="127" t="str">
        <f>TEXT(VEND[[#This Row],[Fecha Recibe
O.C]],"mmmm")</f>
        <v>En espera</v>
      </c>
      <c r="H726" s="128">
        <v>870</v>
      </c>
      <c r="I726" s="112" t="s">
        <v>96</v>
      </c>
      <c r="J726" s="128"/>
      <c r="K726" s="129">
        <v>1</v>
      </c>
      <c r="L726" s="189">
        <v>2777.45</v>
      </c>
      <c r="M726" s="112" t="s">
        <v>22</v>
      </c>
      <c r="N726" s="112">
        <v>0</v>
      </c>
      <c r="O726" s="212" t="str">
        <f>IF(VEND[[#This Row],[STATUS]]="O.C",(VEND[[#This Row],[Fecha Recibe
O.C]]+VEND[[#This Row],[Dias
entrega ]]),"")</f>
        <v/>
      </c>
      <c r="P726" s="216"/>
      <c r="Q726" s="129" t="str">
        <f>IFERROR(VEND[[#This Row],[Fecha de Despacho]]-VEND[[#This Row],[Fecha Estimada de Entrega a  Cliente]],"")</f>
        <v/>
      </c>
      <c r="R72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6" s="128" t="str">
        <f>IF(VEND[[#This Row],[STATUS]]="O.C","APROBADO",IF(VEND[[#This Row],[STATUS]]="PERDIDO","PERDIDO",IF(VEND[[#This Row],[STATUS]]="EN ESPERA","EN ESPERA")))</f>
        <v>EN ESPERA</v>
      </c>
      <c r="T726" s="128" t="str">
        <f>IF(VEND[[#This Row],[STATUS]]="O.C","APROBADO",IF(VEND[[#This Row],[STATUS]]="PERDIDO","PERDIDO",IF(VEND[[#This Row],[STATUS]]="EN ESPERA","EN ESPERA")))</f>
        <v>EN ESPERA</v>
      </c>
      <c r="U726" s="112" t="s">
        <v>46</v>
      </c>
      <c r="V726" s="112" t="s">
        <v>46</v>
      </c>
      <c r="W726" s="112" t="s">
        <v>1402</v>
      </c>
      <c r="X726" s="128"/>
    </row>
    <row r="727" spans="2:24" ht="15.75" x14ac:dyDescent="0.25">
      <c r="B727" s="126">
        <v>44375</v>
      </c>
      <c r="C727" s="188" t="str">
        <f>TEXT(VEND[[#This Row],[Fecha de Envío
Cotización]],"mmmm")</f>
        <v>junio</v>
      </c>
      <c r="D727" s="66" t="s">
        <v>945</v>
      </c>
      <c r="E727" s="190" t="s">
        <v>83</v>
      </c>
      <c r="F727" s="125">
        <v>44375</v>
      </c>
      <c r="G727" s="127" t="str">
        <f>TEXT(VEND[[#This Row],[Fecha Recibe
O.C]],"mmmm")</f>
        <v>junio</v>
      </c>
      <c r="H727" s="128">
        <v>871</v>
      </c>
      <c r="I727" s="112" t="s">
        <v>1546</v>
      </c>
      <c r="J727" s="128"/>
      <c r="K727" s="129">
        <v>1</v>
      </c>
      <c r="L727" s="189">
        <v>38800</v>
      </c>
      <c r="M727" s="112" t="s">
        <v>77</v>
      </c>
      <c r="N727" s="112">
        <v>7</v>
      </c>
      <c r="O727" s="212">
        <f>IF(VEND[[#This Row],[STATUS]]="O.C",(VEND[[#This Row],[Fecha Recibe
O.C]]+VEND[[#This Row],[Dias
entrega ]]),"")</f>
        <v>44382</v>
      </c>
      <c r="P727" s="216"/>
      <c r="Q727" s="129">
        <f>IFERROR(VEND[[#This Row],[Fecha de Despacho]]-VEND[[#This Row],[Fecha Estimada de Entrega a  Cliente]],"")</f>
        <v>-44382</v>
      </c>
      <c r="R72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7" s="128" t="str">
        <f>IF(VEND[[#This Row],[STATUS]]="O.C","APROBADO",IF(VEND[[#This Row],[STATUS]]="PERDIDO","PERDIDO",IF(VEND[[#This Row],[STATUS]]="EN ESPERA","EN ESPERA")))</f>
        <v>APROBADO</v>
      </c>
      <c r="T727" s="128" t="str">
        <f>IF(VEND[[#This Row],[STATUS]]="O.C","APROBADO",IF(VEND[[#This Row],[STATUS]]="PERDIDO","PERDIDO",IF(VEND[[#This Row],[STATUS]]="EN ESPERA","EN ESPERA")))</f>
        <v>APROBADO</v>
      </c>
      <c r="U727" s="112" t="s">
        <v>46</v>
      </c>
      <c r="V727" s="112" t="s">
        <v>46</v>
      </c>
      <c r="W727" s="112" t="s">
        <v>1402</v>
      </c>
      <c r="X727" s="112" t="s">
        <v>2503</v>
      </c>
    </row>
    <row r="728" spans="2:24" ht="15.75" x14ac:dyDescent="0.25">
      <c r="B728" s="126">
        <v>44375</v>
      </c>
      <c r="C728" s="188" t="str">
        <f>TEXT(VEND[[#This Row],[Fecha de Envío
Cotización]],"mmmm")</f>
        <v>junio</v>
      </c>
      <c r="D728" s="66" t="s">
        <v>50</v>
      </c>
      <c r="E728" s="190" t="s">
        <v>88</v>
      </c>
      <c r="F728" s="125" t="str">
        <f>IF(VEND[[#This Row],[STATUS]]="PERDIDO","N/A","En espera")</f>
        <v>En espera</v>
      </c>
      <c r="G728" s="127" t="str">
        <f>TEXT(VEND[[#This Row],[Fecha Recibe
O.C]],"mmmm")</f>
        <v>En espera</v>
      </c>
      <c r="H728" s="128">
        <v>872</v>
      </c>
      <c r="I728" s="112" t="s">
        <v>126</v>
      </c>
      <c r="J728" s="128"/>
      <c r="K728" s="129">
        <v>1</v>
      </c>
      <c r="L728" s="189">
        <v>704.49</v>
      </c>
      <c r="M728" s="112" t="s">
        <v>16</v>
      </c>
      <c r="N728" s="112">
        <v>21</v>
      </c>
      <c r="O728" s="212" t="str">
        <f>IF(VEND[[#This Row],[STATUS]]="O.C",(VEND[[#This Row],[Fecha Recibe
O.C]]+VEND[[#This Row],[Dias
entrega ]]),"")</f>
        <v/>
      </c>
      <c r="P728" s="216"/>
      <c r="Q728" s="129" t="str">
        <f>IFERROR(VEND[[#This Row],[Fecha de Despacho]]-VEND[[#This Row],[Fecha Estimada de Entrega a  Cliente]],"")</f>
        <v/>
      </c>
      <c r="R72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8" s="128" t="str">
        <f>IF(VEND[[#This Row],[STATUS]]="O.C","APROBADO",IF(VEND[[#This Row],[STATUS]]="PERDIDO","PERDIDO",IF(VEND[[#This Row],[STATUS]]="EN ESPERA","EN ESPERA")))</f>
        <v>EN ESPERA</v>
      </c>
      <c r="T728" s="128" t="str">
        <f>IF(VEND[[#This Row],[STATUS]]="O.C","APROBADO",IF(VEND[[#This Row],[STATUS]]="PERDIDO","PERDIDO",IF(VEND[[#This Row],[STATUS]]="EN ESPERA","EN ESPERA")))</f>
        <v>EN ESPERA</v>
      </c>
      <c r="U728" s="112" t="s">
        <v>46</v>
      </c>
      <c r="V728" s="112" t="s">
        <v>46</v>
      </c>
      <c r="W728" s="112" t="s">
        <v>2499</v>
      </c>
      <c r="X728" s="128"/>
    </row>
    <row r="729" spans="2:24" ht="15.75" x14ac:dyDescent="0.25">
      <c r="B729" s="126">
        <v>44375</v>
      </c>
      <c r="C729" s="188" t="str">
        <f>TEXT(VEND[[#This Row],[Fecha de Envío
Cotización]],"mmmm")</f>
        <v>junio</v>
      </c>
      <c r="D729" s="66" t="s">
        <v>68</v>
      </c>
      <c r="E729" s="190" t="s">
        <v>88</v>
      </c>
      <c r="F729" s="125" t="str">
        <f>IF(VEND[[#This Row],[STATUS]]="PERDIDO","N/A","En espera")</f>
        <v>En espera</v>
      </c>
      <c r="G729" s="127" t="str">
        <f>TEXT(VEND[[#This Row],[Fecha Recibe
O.C]],"mmmm")</f>
        <v>En espera</v>
      </c>
      <c r="H729" s="128">
        <v>894</v>
      </c>
      <c r="I729" s="112" t="s">
        <v>138</v>
      </c>
      <c r="J729" s="128"/>
      <c r="K729" s="129">
        <v>1</v>
      </c>
      <c r="L729" s="189">
        <v>1056</v>
      </c>
      <c r="M729" s="112" t="s">
        <v>16</v>
      </c>
      <c r="N729" s="112">
        <v>21</v>
      </c>
      <c r="O729" s="212" t="str">
        <f>IF(VEND[[#This Row],[STATUS]]="O.C",(VEND[[#This Row],[Fecha Recibe
O.C]]+VEND[[#This Row],[Dias
entrega ]]),"")</f>
        <v/>
      </c>
      <c r="P729" s="216"/>
      <c r="Q729" s="129" t="str">
        <f>IFERROR(VEND[[#This Row],[Fecha de Despacho]]-VEND[[#This Row],[Fecha Estimada de Entrega a  Cliente]],"")</f>
        <v/>
      </c>
      <c r="R72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29" s="128" t="str">
        <f>IF(VEND[[#This Row],[STATUS]]="O.C","APROBADO",IF(VEND[[#This Row],[STATUS]]="PERDIDO","PERDIDO",IF(VEND[[#This Row],[STATUS]]="EN ESPERA","EN ESPERA")))</f>
        <v>EN ESPERA</v>
      </c>
      <c r="T729" s="128" t="str">
        <f>IF(VEND[[#This Row],[STATUS]]="O.C","APROBADO",IF(VEND[[#This Row],[STATUS]]="PERDIDO","PERDIDO",IF(VEND[[#This Row],[STATUS]]="EN ESPERA","EN ESPERA")))</f>
        <v>EN ESPERA</v>
      </c>
      <c r="U729" s="112" t="s">
        <v>46</v>
      </c>
      <c r="V729" s="112" t="s">
        <v>46</v>
      </c>
      <c r="W729" s="112" t="s">
        <v>1402</v>
      </c>
      <c r="X729" s="112" t="s">
        <v>2562</v>
      </c>
    </row>
    <row r="730" spans="2:24" ht="15.75" x14ac:dyDescent="0.25">
      <c r="B730" s="126">
        <v>44375</v>
      </c>
      <c r="C730" s="188" t="str">
        <f>TEXT(VEND[[#This Row],[Fecha de Envío
Cotización]],"mmmm")</f>
        <v>junio</v>
      </c>
      <c r="D730" s="66" t="s">
        <v>50</v>
      </c>
      <c r="E730" s="190" t="s">
        <v>88</v>
      </c>
      <c r="F730" s="125" t="str">
        <f>IF(VEND[[#This Row],[STATUS]]="PERDIDO","N/A","En espera")</f>
        <v>En espera</v>
      </c>
      <c r="G730" s="127" t="str">
        <f>TEXT(VEND[[#This Row],[Fecha Recibe
O.C]],"mmmm")</f>
        <v>En espera</v>
      </c>
      <c r="H730" s="128">
        <v>874</v>
      </c>
      <c r="I730" s="112" t="s">
        <v>116</v>
      </c>
      <c r="J730" s="128"/>
      <c r="K730" s="129">
        <v>1</v>
      </c>
      <c r="L730" s="189">
        <v>870.2</v>
      </c>
      <c r="M730" s="112" t="s">
        <v>16</v>
      </c>
      <c r="N730" s="112">
        <v>21</v>
      </c>
      <c r="O730" s="212" t="str">
        <f>IF(VEND[[#This Row],[STATUS]]="O.C",(VEND[[#This Row],[Fecha Recibe
O.C]]+VEND[[#This Row],[Dias
entrega ]]),"")</f>
        <v/>
      </c>
      <c r="P730" s="216"/>
      <c r="Q730" s="129" t="str">
        <f>IFERROR(VEND[[#This Row],[Fecha de Despacho]]-VEND[[#This Row],[Fecha Estimada de Entrega a  Cliente]],"")</f>
        <v/>
      </c>
      <c r="R73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0" s="128" t="str">
        <f>IF(VEND[[#This Row],[STATUS]]="O.C","APROBADO",IF(VEND[[#This Row],[STATUS]]="PERDIDO","PERDIDO",IF(VEND[[#This Row],[STATUS]]="EN ESPERA","EN ESPERA")))</f>
        <v>EN ESPERA</v>
      </c>
      <c r="T730" s="128" t="str">
        <f>IF(VEND[[#This Row],[STATUS]]="O.C","APROBADO",IF(VEND[[#This Row],[STATUS]]="PERDIDO","PERDIDO",IF(VEND[[#This Row],[STATUS]]="EN ESPERA","EN ESPERA")))</f>
        <v>EN ESPERA</v>
      </c>
      <c r="U730" s="112" t="s">
        <v>46</v>
      </c>
      <c r="V730" s="112" t="s">
        <v>46</v>
      </c>
      <c r="W730" s="112" t="s">
        <v>1401</v>
      </c>
      <c r="X730" s="128"/>
    </row>
    <row r="731" spans="2:24" ht="15.75" x14ac:dyDescent="0.25">
      <c r="B731" s="126">
        <v>44375</v>
      </c>
      <c r="C731" s="188" t="str">
        <f>TEXT(VEND[[#This Row],[Fecha de Envío
Cotización]],"mmmm")</f>
        <v>junio</v>
      </c>
      <c r="D731" s="66" t="s">
        <v>68</v>
      </c>
      <c r="E731" s="190" t="s">
        <v>88</v>
      </c>
      <c r="F731" s="125" t="str">
        <f>IF(VEND[[#This Row],[STATUS]]="PERDIDO","N/A","En espera")</f>
        <v>En espera</v>
      </c>
      <c r="G731" s="127" t="str">
        <f>TEXT(VEND[[#This Row],[Fecha Recibe
O.C]],"mmmm")</f>
        <v>En espera</v>
      </c>
      <c r="H731" s="128">
        <v>892</v>
      </c>
      <c r="I731" s="112" t="s">
        <v>138</v>
      </c>
      <c r="J731" s="128"/>
      <c r="K731" s="129">
        <v>1</v>
      </c>
      <c r="L731" s="189">
        <v>290.10000000000002</v>
      </c>
      <c r="M731" s="112" t="s">
        <v>16</v>
      </c>
      <c r="N731" s="112">
        <v>21</v>
      </c>
      <c r="O731" s="212" t="str">
        <f>IF(VEND[[#This Row],[STATUS]]="O.C",(VEND[[#This Row],[Fecha Recibe
O.C]]+VEND[[#This Row],[Dias
entrega ]]),"")</f>
        <v/>
      </c>
      <c r="P731" s="216"/>
      <c r="Q731" s="129" t="str">
        <f>IFERROR(VEND[[#This Row],[Fecha de Despacho]]-VEND[[#This Row],[Fecha Estimada de Entrega a  Cliente]],"")</f>
        <v/>
      </c>
      <c r="R73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1" s="128" t="str">
        <f>IF(VEND[[#This Row],[STATUS]]="O.C","APROBADO",IF(VEND[[#This Row],[STATUS]]="PERDIDO","PERDIDO",IF(VEND[[#This Row],[STATUS]]="EN ESPERA","EN ESPERA")))</f>
        <v>EN ESPERA</v>
      </c>
      <c r="T731" s="128" t="str">
        <f>IF(VEND[[#This Row],[STATUS]]="O.C","APROBADO",IF(VEND[[#This Row],[STATUS]]="PERDIDO","PERDIDO",IF(VEND[[#This Row],[STATUS]]="EN ESPERA","EN ESPERA")))</f>
        <v>EN ESPERA</v>
      </c>
      <c r="U731" s="112" t="s">
        <v>46</v>
      </c>
      <c r="V731" s="112" t="s">
        <v>46</v>
      </c>
      <c r="W731" s="112" t="s">
        <v>1402</v>
      </c>
      <c r="X731" s="112" t="s">
        <v>2563</v>
      </c>
    </row>
    <row r="732" spans="2:24" ht="15.75" x14ac:dyDescent="0.25">
      <c r="B732" s="71">
        <v>44375</v>
      </c>
      <c r="C732" s="195" t="str">
        <f>TEXT(VEND[[#This Row],[Fecha de Envío
Cotización]],"mmmm")</f>
        <v>junio</v>
      </c>
      <c r="D732" s="66" t="s">
        <v>945</v>
      </c>
      <c r="E732" s="190" t="s">
        <v>88</v>
      </c>
      <c r="F732" s="125" t="str">
        <f>IF(VEND[[#This Row],[STATUS]]="PERDIDO","N/A","En espera")</f>
        <v>En espera</v>
      </c>
      <c r="G732" s="93" t="str">
        <f>TEXT(VEND[[#This Row],[Fecha Recibe
O.C]],"mmmm")</f>
        <v>En espera</v>
      </c>
      <c r="H732" s="112">
        <v>876</v>
      </c>
      <c r="I732" s="112" t="s">
        <v>31</v>
      </c>
      <c r="J732" s="112"/>
      <c r="K732" s="58">
        <v>1</v>
      </c>
      <c r="L732" s="123">
        <v>49300</v>
      </c>
      <c r="M732" s="112" t="s">
        <v>77</v>
      </c>
      <c r="N732" s="112">
        <v>7</v>
      </c>
      <c r="O732" s="212" t="str">
        <f>IF(VEND[[#This Row],[STATUS]]="O.C",(VEND[[#This Row],[Fecha Recibe
O.C]]+VEND[[#This Row],[Dias
entrega ]]),"")</f>
        <v/>
      </c>
      <c r="P732" s="212"/>
      <c r="Q732" s="58" t="str">
        <f>IFERROR(VEND[[#This Row],[Fecha de Despacho]]-VEND[[#This Row],[Fecha Estimada de Entrega a  Cliente]],"")</f>
        <v/>
      </c>
      <c r="R732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2" s="112" t="str">
        <f>IF(VEND[[#This Row],[STATUS]]="O.C","APROBADO",IF(VEND[[#This Row],[STATUS]]="PERDIDO","PERDIDO",IF(VEND[[#This Row],[STATUS]]="EN ESPERA","EN ESPERA")))</f>
        <v>EN ESPERA</v>
      </c>
      <c r="T732" s="112" t="str">
        <f>IF(VEND[[#This Row],[STATUS]]="O.C","APROBADO",IF(VEND[[#This Row],[STATUS]]="PERDIDO","PERDIDO",IF(VEND[[#This Row],[STATUS]]="EN ESPERA","EN ESPERA")))</f>
        <v>EN ESPERA</v>
      </c>
      <c r="U732" s="112" t="s">
        <v>46</v>
      </c>
      <c r="V732" s="112" t="s">
        <v>46</v>
      </c>
      <c r="W732" s="112" t="s">
        <v>1410</v>
      </c>
      <c r="X732" s="112"/>
    </row>
    <row r="733" spans="2:24" ht="15.75" x14ac:dyDescent="0.25">
      <c r="B733" s="126">
        <v>44375</v>
      </c>
      <c r="C733" s="188" t="str">
        <f>TEXT(VEND[[#This Row],[Fecha de Envío
Cotización]],"mmmm")</f>
        <v>junio</v>
      </c>
      <c r="D733" s="66" t="s">
        <v>50</v>
      </c>
      <c r="E733" s="190" t="s">
        <v>88</v>
      </c>
      <c r="F733" s="125" t="str">
        <f>IF(VEND[[#This Row],[STATUS]]="PERDIDO","N/A","En espera")</f>
        <v>En espera</v>
      </c>
      <c r="G733" s="127" t="str">
        <f>TEXT(VEND[[#This Row],[Fecha Recibe
O.C]],"mmmm")</f>
        <v>En espera</v>
      </c>
      <c r="H733" s="128">
        <v>877</v>
      </c>
      <c r="I733" s="112" t="s">
        <v>1109</v>
      </c>
      <c r="J733" s="128"/>
      <c r="K733" s="129">
        <v>1</v>
      </c>
      <c r="L733" s="189">
        <v>877.9</v>
      </c>
      <c r="M733" s="112" t="s">
        <v>36</v>
      </c>
      <c r="N733" s="112">
        <v>28</v>
      </c>
      <c r="O733" s="212" t="str">
        <f>IF(VEND[[#This Row],[STATUS]]="O.C",(VEND[[#This Row],[Fecha Recibe
O.C]]+VEND[[#This Row],[Dias
entrega ]]),"")</f>
        <v/>
      </c>
      <c r="P733" s="216"/>
      <c r="Q733" s="129" t="str">
        <f>IFERROR(VEND[[#This Row],[Fecha de Despacho]]-VEND[[#This Row],[Fecha Estimada de Entrega a  Cliente]],"")</f>
        <v/>
      </c>
      <c r="R733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3" s="128" t="str">
        <f>IF(VEND[[#This Row],[STATUS]]="O.C","APROBADO",IF(VEND[[#This Row],[STATUS]]="PERDIDO","PERDIDO",IF(VEND[[#This Row],[STATUS]]="EN ESPERA","EN ESPERA")))</f>
        <v>EN ESPERA</v>
      </c>
      <c r="T733" s="128" t="str">
        <f>IF(VEND[[#This Row],[STATUS]]="O.C","APROBADO",IF(VEND[[#This Row],[STATUS]]="PERDIDO","PERDIDO",IF(VEND[[#This Row],[STATUS]]="EN ESPERA","EN ESPERA")))</f>
        <v>EN ESPERA</v>
      </c>
      <c r="U733" s="112" t="s">
        <v>46</v>
      </c>
      <c r="V733" s="112" t="s">
        <v>46</v>
      </c>
      <c r="W733" s="112" t="s">
        <v>1401</v>
      </c>
      <c r="X733" s="128"/>
    </row>
    <row r="734" spans="2:24" ht="15.75" x14ac:dyDescent="0.25">
      <c r="B734" s="126">
        <v>44376</v>
      </c>
      <c r="C734" s="188" t="str">
        <f>TEXT(VEND[[#This Row],[Fecha de Envío
Cotización]],"mmmm")</f>
        <v>junio</v>
      </c>
      <c r="D734" s="66" t="s">
        <v>945</v>
      </c>
      <c r="E734" s="190" t="s">
        <v>88</v>
      </c>
      <c r="F734" s="125" t="str">
        <f>IF(VEND[[#This Row],[STATUS]]="PERDIDO","N/A","En espera")</f>
        <v>En espera</v>
      </c>
      <c r="G734" s="127" t="str">
        <f>TEXT(VEND[[#This Row],[Fecha Recibe
O.C]],"mmmm")</f>
        <v>En espera</v>
      </c>
      <c r="H734" s="128">
        <v>879</v>
      </c>
      <c r="I734" s="112" t="s">
        <v>31</v>
      </c>
      <c r="J734" s="128"/>
      <c r="K734" s="129">
        <v>7</v>
      </c>
      <c r="L734" s="189">
        <v>2510.91</v>
      </c>
      <c r="M734" s="112" t="s">
        <v>62</v>
      </c>
      <c r="N734" s="112">
        <v>3</v>
      </c>
      <c r="O734" s="212" t="str">
        <f>IF(VEND[[#This Row],[STATUS]]="O.C",(VEND[[#This Row],[Fecha Recibe
O.C]]+VEND[[#This Row],[Dias
entrega ]]),"")</f>
        <v/>
      </c>
      <c r="P734" s="216"/>
      <c r="Q734" s="129" t="str">
        <f>IFERROR(VEND[[#This Row],[Fecha de Despacho]]-VEND[[#This Row],[Fecha Estimada de Entrega a  Cliente]],"")</f>
        <v/>
      </c>
      <c r="R73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4" s="128" t="str">
        <f>IF(VEND[[#This Row],[STATUS]]="O.C","APROBADO",IF(VEND[[#This Row],[STATUS]]="PERDIDO","PERDIDO",IF(VEND[[#This Row],[STATUS]]="EN ESPERA","EN ESPERA")))</f>
        <v>EN ESPERA</v>
      </c>
      <c r="T734" s="128" t="str">
        <f>IF(VEND[[#This Row],[STATUS]]="O.C","APROBADO",IF(VEND[[#This Row],[STATUS]]="PERDIDO","PERDIDO",IF(VEND[[#This Row],[STATUS]]="EN ESPERA","EN ESPERA")))</f>
        <v>EN ESPERA</v>
      </c>
      <c r="U734" s="112" t="s">
        <v>46</v>
      </c>
      <c r="V734" s="112" t="s">
        <v>46</v>
      </c>
      <c r="W734" s="112" t="s">
        <v>1410</v>
      </c>
      <c r="X734" s="128"/>
    </row>
    <row r="735" spans="2:24" ht="15.75" x14ac:dyDescent="0.25">
      <c r="B735" s="126">
        <v>44376</v>
      </c>
      <c r="C735" s="188" t="str">
        <f>TEXT(VEND[[#This Row],[Fecha de Envío
Cotización]],"mmmm")</f>
        <v>junio</v>
      </c>
      <c r="D735" s="66" t="s">
        <v>1163</v>
      </c>
      <c r="E735" s="190" t="s">
        <v>88</v>
      </c>
      <c r="F735" s="125" t="str">
        <f>IF(VEND[[#This Row],[STATUS]]="PERDIDO","N/A","En espera")</f>
        <v>En espera</v>
      </c>
      <c r="G735" s="127" t="str">
        <f>TEXT(VEND[[#This Row],[Fecha Recibe
O.C]],"mmmm")</f>
        <v>En espera</v>
      </c>
      <c r="H735" s="128">
        <v>880</v>
      </c>
      <c r="I735" s="112" t="s">
        <v>1241</v>
      </c>
      <c r="J735" s="128"/>
      <c r="K735" s="129">
        <v>1</v>
      </c>
      <c r="L735" s="189">
        <v>2496.88</v>
      </c>
      <c r="M735" s="112" t="s">
        <v>36</v>
      </c>
      <c r="N735" s="112">
        <v>28</v>
      </c>
      <c r="O735" s="212" t="str">
        <f>IF(VEND[[#This Row],[STATUS]]="O.C",(VEND[[#This Row],[Fecha Recibe
O.C]]+VEND[[#This Row],[Dias
entrega ]]),"")</f>
        <v/>
      </c>
      <c r="P735" s="216"/>
      <c r="Q735" s="129" t="str">
        <f>IFERROR(VEND[[#This Row],[Fecha de Despacho]]-VEND[[#This Row],[Fecha Estimada de Entrega a  Cliente]],"")</f>
        <v/>
      </c>
      <c r="R73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5" s="128" t="str">
        <f>IF(VEND[[#This Row],[STATUS]]="O.C","APROBADO",IF(VEND[[#This Row],[STATUS]]="PERDIDO","PERDIDO",IF(VEND[[#This Row],[STATUS]]="EN ESPERA","EN ESPERA")))</f>
        <v>EN ESPERA</v>
      </c>
      <c r="T735" s="128" t="str">
        <f>IF(VEND[[#This Row],[STATUS]]="O.C","APROBADO",IF(VEND[[#This Row],[STATUS]]="PERDIDO","PERDIDO",IF(VEND[[#This Row],[STATUS]]="EN ESPERA","EN ESPERA")))</f>
        <v>EN ESPERA</v>
      </c>
      <c r="U735" s="112" t="s">
        <v>46</v>
      </c>
      <c r="V735" s="112" t="s">
        <v>46</v>
      </c>
      <c r="W735" s="112" t="s">
        <v>1409</v>
      </c>
      <c r="X735" s="128"/>
    </row>
    <row r="736" spans="2:24" ht="15.75" x14ac:dyDescent="0.25">
      <c r="B736" s="126">
        <v>44376</v>
      </c>
      <c r="C736" s="188" t="str">
        <f>TEXT(VEND[[#This Row],[Fecha de Envío
Cotización]],"mmmm")</f>
        <v>junio</v>
      </c>
      <c r="D736" s="66" t="s">
        <v>68</v>
      </c>
      <c r="E736" s="190" t="s">
        <v>88</v>
      </c>
      <c r="F736" s="125" t="str">
        <f>IF(VEND[[#This Row],[STATUS]]="PERDIDO","N/A","En espera")</f>
        <v>En espera</v>
      </c>
      <c r="G736" s="127" t="str">
        <f>TEXT(VEND[[#This Row],[Fecha Recibe
O.C]],"mmmm")</f>
        <v>En espera</v>
      </c>
      <c r="H736" s="128">
        <v>891</v>
      </c>
      <c r="I736" s="112" t="s">
        <v>138</v>
      </c>
      <c r="J736" s="128"/>
      <c r="K736" s="129">
        <v>1</v>
      </c>
      <c r="L736" s="189">
        <v>1850</v>
      </c>
      <c r="M736" s="112" t="s">
        <v>16</v>
      </c>
      <c r="N736" s="112">
        <v>21</v>
      </c>
      <c r="O736" s="212" t="str">
        <f>IF(VEND[[#This Row],[STATUS]]="O.C",(VEND[[#This Row],[Fecha Recibe
O.C]]+VEND[[#This Row],[Dias
entrega ]]),"")</f>
        <v/>
      </c>
      <c r="P736" s="216"/>
      <c r="Q736" s="129" t="str">
        <f>IFERROR(VEND[[#This Row],[Fecha de Despacho]]-VEND[[#This Row],[Fecha Estimada de Entrega a  Cliente]],"")</f>
        <v/>
      </c>
      <c r="R73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6" s="128" t="str">
        <f>IF(VEND[[#This Row],[STATUS]]="O.C","APROBADO",IF(VEND[[#This Row],[STATUS]]="PERDIDO","PERDIDO",IF(VEND[[#This Row],[STATUS]]="EN ESPERA","EN ESPERA")))</f>
        <v>EN ESPERA</v>
      </c>
      <c r="T736" s="128" t="str">
        <f>IF(VEND[[#This Row],[STATUS]]="O.C","APROBADO",IF(VEND[[#This Row],[STATUS]]="PERDIDO","PERDIDO",IF(VEND[[#This Row],[STATUS]]="EN ESPERA","EN ESPERA")))</f>
        <v>EN ESPERA</v>
      </c>
      <c r="U736" s="112" t="s">
        <v>46</v>
      </c>
      <c r="V736" s="112" t="s">
        <v>46</v>
      </c>
      <c r="W736" s="112" t="s">
        <v>1402</v>
      </c>
      <c r="X736" s="112" t="s">
        <v>2564</v>
      </c>
    </row>
    <row r="737" spans="2:24" ht="15.75" x14ac:dyDescent="0.25">
      <c r="B737" s="126">
        <v>44376</v>
      </c>
      <c r="C737" s="188" t="str">
        <f>TEXT(VEND[[#This Row],[Fecha de Envío
Cotización]],"mmmm")</f>
        <v>junio</v>
      </c>
      <c r="D737" s="66" t="s">
        <v>945</v>
      </c>
      <c r="E737" s="190" t="s">
        <v>88</v>
      </c>
      <c r="F737" s="125" t="str">
        <f>IF(VEND[[#This Row],[STATUS]]="PERDIDO","N/A","En espera")</f>
        <v>En espera</v>
      </c>
      <c r="G737" s="127" t="str">
        <f>TEXT(VEND[[#This Row],[Fecha Recibe
O.C]],"mmmm")</f>
        <v>En espera</v>
      </c>
      <c r="H737" s="128">
        <v>882</v>
      </c>
      <c r="I737" s="112" t="s">
        <v>320</v>
      </c>
      <c r="J737" s="128"/>
      <c r="K737" s="129">
        <v>1</v>
      </c>
      <c r="L737" s="189">
        <v>2477.94</v>
      </c>
      <c r="M737" s="112" t="s">
        <v>2535</v>
      </c>
      <c r="N737" s="112">
        <v>30</v>
      </c>
      <c r="O737" s="212" t="str">
        <f>IF(VEND[[#This Row],[STATUS]]="O.C",(VEND[[#This Row],[Fecha Recibe
O.C]]+VEND[[#This Row],[Dias
entrega ]]),"")</f>
        <v/>
      </c>
      <c r="P737" s="216"/>
      <c r="Q737" s="129" t="str">
        <f>IFERROR(VEND[[#This Row],[Fecha de Despacho]]-VEND[[#This Row],[Fecha Estimada de Entrega a  Cliente]],"")</f>
        <v/>
      </c>
      <c r="R73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7" s="128" t="str">
        <f>IF(VEND[[#This Row],[STATUS]]="O.C","APROBADO",IF(VEND[[#This Row],[STATUS]]="PERDIDO","PERDIDO",IF(VEND[[#This Row],[STATUS]]="EN ESPERA","EN ESPERA")))</f>
        <v>EN ESPERA</v>
      </c>
      <c r="T737" s="128" t="str">
        <f>IF(VEND[[#This Row],[STATUS]]="O.C","APROBADO",IF(VEND[[#This Row],[STATUS]]="PERDIDO","PERDIDO",IF(VEND[[#This Row],[STATUS]]="EN ESPERA","EN ESPERA")))</f>
        <v>EN ESPERA</v>
      </c>
      <c r="U737" s="112" t="s">
        <v>46</v>
      </c>
      <c r="V737" s="112" t="s">
        <v>46</v>
      </c>
      <c r="W737" s="112" t="s">
        <v>1405</v>
      </c>
      <c r="X737" s="128"/>
    </row>
    <row r="738" spans="2:24" ht="15.75" x14ac:dyDescent="0.25">
      <c r="B738" s="126">
        <v>44376</v>
      </c>
      <c r="C738" s="188" t="str">
        <f>TEXT(VEND[[#This Row],[Fecha de Envío
Cotización]],"mmmm")</f>
        <v>junio</v>
      </c>
      <c r="D738" s="66" t="s">
        <v>41</v>
      </c>
      <c r="E738" s="190" t="s">
        <v>83</v>
      </c>
      <c r="F738" s="125">
        <v>44377</v>
      </c>
      <c r="G738" s="127" t="str">
        <f>TEXT(VEND[[#This Row],[Fecha Recibe
O.C]],"mmmm")</f>
        <v>junio</v>
      </c>
      <c r="H738" s="128">
        <v>3557</v>
      </c>
      <c r="I738" s="112" t="s">
        <v>416</v>
      </c>
      <c r="J738" s="128"/>
      <c r="K738" s="129">
        <v>1</v>
      </c>
      <c r="L738" s="189">
        <v>417.59</v>
      </c>
      <c r="M738" s="112" t="s">
        <v>73</v>
      </c>
      <c r="N738" s="112">
        <v>14</v>
      </c>
      <c r="O738" s="212">
        <f>IF(VEND[[#This Row],[STATUS]]="O.C",(VEND[[#This Row],[Fecha Recibe
O.C]]+VEND[[#This Row],[Dias
entrega ]]),"")</f>
        <v>44391</v>
      </c>
      <c r="P738" s="216"/>
      <c r="Q738" s="129">
        <f>IFERROR(VEND[[#This Row],[Fecha de Despacho]]-VEND[[#This Row],[Fecha Estimada de Entrega a  Cliente]],"")</f>
        <v>-44391</v>
      </c>
      <c r="R738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8" s="128" t="str">
        <f>IF(VEND[[#This Row],[STATUS]]="O.C","APROBADO",IF(VEND[[#This Row],[STATUS]]="PERDIDO","PERDIDO",IF(VEND[[#This Row],[STATUS]]="EN ESPERA","EN ESPERA")))</f>
        <v>APROBADO</v>
      </c>
      <c r="T738" s="128" t="str">
        <f>IF(VEND[[#This Row],[STATUS]]="O.C","APROBADO",IF(VEND[[#This Row],[STATUS]]="PERDIDO","PERDIDO",IF(VEND[[#This Row],[STATUS]]="EN ESPERA","EN ESPERA")))</f>
        <v>APROBADO</v>
      </c>
      <c r="U738" s="112" t="s">
        <v>46</v>
      </c>
      <c r="V738" s="112" t="s">
        <v>46</v>
      </c>
      <c r="W738" s="112" t="s">
        <v>1401</v>
      </c>
      <c r="X738" s="128">
        <v>414438</v>
      </c>
    </row>
    <row r="739" spans="2:24" ht="15.75" x14ac:dyDescent="0.25">
      <c r="B739" s="126">
        <v>44376</v>
      </c>
      <c r="C739" s="188" t="str">
        <f>TEXT(VEND[[#This Row],[Fecha de Envío
Cotización]],"mmmm")</f>
        <v>junio</v>
      </c>
      <c r="D739" s="66" t="s">
        <v>945</v>
      </c>
      <c r="E739" s="190" t="s">
        <v>88</v>
      </c>
      <c r="F739" s="125" t="str">
        <f>IF(VEND[[#This Row],[STATUS]]="PERDIDO","N/A","En espera")</f>
        <v>En espera</v>
      </c>
      <c r="G739" s="127" t="str">
        <f>TEXT(VEND[[#This Row],[Fecha Recibe
O.C]],"mmmm")</f>
        <v>En espera</v>
      </c>
      <c r="H739" s="128">
        <v>888</v>
      </c>
      <c r="I739" s="112" t="s">
        <v>130</v>
      </c>
      <c r="J739" s="128"/>
      <c r="K739" s="129">
        <v>1</v>
      </c>
      <c r="L739" s="189">
        <v>477.84</v>
      </c>
      <c r="M739" s="112" t="s">
        <v>77</v>
      </c>
      <c r="N739" s="112">
        <v>7</v>
      </c>
      <c r="O739" s="212" t="str">
        <f>IF(VEND[[#This Row],[STATUS]]="O.C",(VEND[[#This Row],[Fecha Recibe
O.C]]+VEND[[#This Row],[Dias
entrega ]]),"")</f>
        <v/>
      </c>
      <c r="P739" s="216"/>
      <c r="Q739" s="129" t="str">
        <f>IFERROR(VEND[[#This Row],[Fecha de Despacho]]-VEND[[#This Row],[Fecha Estimada de Entrega a  Cliente]],"")</f>
        <v/>
      </c>
      <c r="R739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39" s="128" t="str">
        <f>IF(VEND[[#This Row],[STATUS]]="O.C","APROBADO",IF(VEND[[#This Row],[STATUS]]="PERDIDO","PERDIDO",IF(VEND[[#This Row],[STATUS]]="EN ESPERA","EN ESPERA")))</f>
        <v>EN ESPERA</v>
      </c>
      <c r="T739" s="128" t="str">
        <f>IF(VEND[[#This Row],[STATUS]]="O.C","APROBADO",IF(VEND[[#This Row],[STATUS]]="PERDIDO","PERDIDO",IF(VEND[[#This Row],[STATUS]]="EN ESPERA","EN ESPERA")))</f>
        <v>EN ESPERA</v>
      </c>
      <c r="U739" s="112" t="s">
        <v>46</v>
      </c>
      <c r="V739" s="112" t="s">
        <v>46</v>
      </c>
      <c r="W739" s="112" t="s">
        <v>1409</v>
      </c>
      <c r="X739" s="128"/>
    </row>
    <row r="740" spans="2:24" ht="15.75" x14ac:dyDescent="0.25">
      <c r="B740" s="126">
        <v>44376</v>
      </c>
      <c r="C740" s="188" t="str">
        <f>TEXT(VEND[[#This Row],[Fecha de Envío
Cotización]],"mmmm")</f>
        <v>junio</v>
      </c>
      <c r="D740" s="66" t="s">
        <v>1163</v>
      </c>
      <c r="E740" s="190" t="s">
        <v>88</v>
      </c>
      <c r="F740" s="125" t="str">
        <f>IF(VEND[[#This Row],[STATUS]]="PERDIDO","N/A","En espera")</f>
        <v>En espera</v>
      </c>
      <c r="G740" s="127" t="str">
        <f>TEXT(VEND[[#This Row],[Fecha Recibe
O.C]],"mmmm")</f>
        <v>En espera</v>
      </c>
      <c r="H740" s="128">
        <v>889</v>
      </c>
      <c r="I740" s="112" t="s">
        <v>1241</v>
      </c>
      <c r="J740" s="128"/>
      <c r="K740" s="129">
        <v>1</v>
      </c>
      <c r="L740" s="189">
        <v>5000</v>
      </c>
      <c r="M740" s="112" t="s">
        <v>36</v>
      </c>
      <c r="N740" s="112">
        <v>28</v>
      </c>
      <c r="O740" s="212" t="str">
        <f>IF(VEND[[#This Row],[STATUS]]="O.C",(VEND[[#This Row],[Fecha Recibe
O.C]]+VEND[[#This Row],[Dias
entrega ]]),"")</f>
        <v/>
      </c>
      <c r="P740" s="216"/>
      <c r="Q740" s="129" t="str">
        <f>IFERROR(VEND[[#This Row],[Fecha de Despacho]]-VEND[[#This Row],[Fecha Estimada de Entrega a  Cliente]],"")</f>
        <v/>
      </c>
      <c r="R740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0" s="128" t="str">
        <f>IF(VEND[[#This Row],[STATUS]]="O.C","APROBADO",IF(VEND[[#This Row],[STATUS]]="PERDIDO","PERDIDO",IF(VEND[[#This Row],[STATUS]]="EN ESPERA","EN ESPERA")))</f>
        <v>EN ESPERA</v>
      </c>
      <c r="T740" s="128" t="str">
        <f>IF(VEND[[#This Row],[STATUS]]="O.C","APROBADO",IF(VEND[[#This Row],[STATUS]]="PERDIDO","PERDIDO",IF(VEND[[#This Row],[STATUS]]="EN ESPERA","EN ESPERA")))</f>
        <v>EN ESPERA</v>
      </c>
      <c r="U740" s="112" t="s">
        <v>46</v>
      </c>
      <c r="V740" s="112" t="s">
        <v>46</v>
      </c>
      <c r="W740" s="112" t="s">
        <v>1409</v>
      </c>
      <c r="X740" s="128"/>
    </row>
    <row r="741" spans="2:24" s="105" customFormat="1" ht="15.75" x14ac:dyDescent="0.25">
      <c r="B741" s="126">
        <v>44376</v>
      </c>
      <c r="C741" s="188" t="str">
        <f>TEXT(VEND[[#This Row],[Fecha de Envío
Cotización]],"mmmm")</f>
        <v>junio</v>
      </c>
      <c r="D741" s="66" t="s">
        <v>41</v>
      </c>
      <c r="E741" s="190" t="s">
        <v>88</v>
      </c>
      <c r="F741" s="125" t="str">
        <f>IF(VEND[[#This Row],[STATUS]]="PERDIDO","N/A","En espera")</f>
        <v>En espera</v>
      </c>
      <c r="G741" s="127" t="str">
        <f>TEXT(VEND[[#This Row],[Fecha Recibe
O.C]],"mmmm")</f>
        <v>En espera</v>
      </c>
      <c r="H741" s="128">
        <v>3558</v>
      </c>
      <c r="I741" s="112" t="s">
        <v>76</v>
      </c>
      <c r="J741" s="128"/>
      <c r="K741" s="129">
        <v>5</v>
      </c>
      <c r="L741" s="189">
        <v>8056.86</v>
      </c>
      <c r="M741" s="112" t="s">
        <v>1571</v>
      </c>
      <c r="N741" s="112">
        <v>2</v>
      </c>
      <c r="O741" s="212" t="str">
        <f>IF(VEND[[#This Row],[STATUS]]="O.C",(VEND[[#This Row],[Fecha Recibe
O.C]]+VEND[[#This Row],[Dias
entrega ]]),"")</f>
        <v/>
      </c>
      <c r="P741" s="216"/>
      <c r="Q741" s="129" t="str">
        <f>IFERROR(VEND[[#This Row],[Fecha de Despacho]]-VEND[[#This Row],[Fecha Estimada de Entrega a  Cliente]],"")</f>
        <v/>
      </c>
      <c r="R741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1" s="128" t="str">
        <f>IF(VEND[[#This Row],[STATUS]]="O.C","APROBADO",IF(VEND[[#This Row],[STATUS]]="PERDIDO","PERDIDO",IF(VEND[[#This Row],[STATUS]]="EN ESPERA","EN ESPERA")))</f>
        <v>EN ESPERA</v>
      </c>
      <c r="T741" s="128" t="str">
        <f>IF(VEND[[#This Row],[STATUS]]="O.C","APROBADO",IF(VEND[[#This Row],[STATUS]]="PERDIDO","PERDIDO",IF(VEND[[#This Row],[STATUS]]="EN ESPERA","EN ESPERA")))</f>
        <v>EN ESPERA</v>
      </c>
      <c r="U741" s="112" t="s">
        <v>46</v>
      </c>
      <c r="V741" s="112" t="s">
        <v>46</v>
      </c>
      <c r="W741" s="112" t="s">
        <v>1402</v>
      </c>
      <c r="X741" s="128"/>
    </row>
    <row r="742" spans="2:24" s="105" customFormat="1" ht="15.75" x14ac:dyDescent="0.25">
      <c r="B742" s="126">
        <v>44376</v>
      </c>
      <c r="C742" s="188" t="str">
        <f>TEXT(VEND[[#This Row],[Fecha de Envío
Cotización]],"mmmm")</f>
        <v>junio</v>
      </c>
      <c r="D742" s="66" t="s">
        <v>41</v>
      </c>
      <c r="E742" s="190" t="s">
        <v>88</v>
      </c>
      <c r="F742" s="125" t="str">
        <f>IF(VEND[[#This Row],[STATUS]]="PERDIDO","N/A","En espera")</f>
        <v>En espera</v>
      </c>
      <c r="G742" s="127" t="str">
        <f>TEXT(VEND[[#This Row],[Fecha Recibe
O.C]],"mmmm")</f>
        <v>En espera</v>
      </c>
      <c r="H742" s="128">
        <v>3559</v>
      </c>
      <c r="I742" s="112" t="s">
        <v>76</v>
      </c>
      <c r="J742" s="128"/>
      <c r="K742" s="129">
        <v>1</v>
      </c>
      <c r="L742" s="189">
        <v>19755.93</v>
      </c>
      <c r="M742" s="112" t="s">
        <v>926</v>
      </c>
      <c r="N742" s="112">
        <v>42</v>
      </c>
      <c r="O742" s="212" t="str">
        <f>IF(VEND[[#This Row],[STATUS]]="O.C",(VEND[[#This Row],[Fecha Recibe
O.C]]+VEND[[#This Row],[Dias
entrega ]]),"")</f>
        <v/>
      </c>
      <c r="P742" s="216"/>
      <c r="Q742" s="129" t="str">
        <f>IFERROR(VEND[[#This Row],[Fecha de Despacho]]-VEND[[#This Row],[Fecha Estimada de Entrega a  Cliente]],"")</f>
        <v/>
      </c>
      <c r="R742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2" s="128" t="str">
        <f>IF(VEND[[#This Row],[STATUS]]="O.C","APROBADO",IF(VEND[[#This Row],[STATUS]]="PERDIDO","PERDIDO",IF(VEND[[#This Row],[STATUS]]="EN ESPERA","EN ESPERA")))</f>
        <v>EN ESPERA</v>
      </c>
      <c r="T742" s="128" t="str">
        <f>IF(VEND[[#This Row],[STATUS]]="O.C","APROBADO",IF(VEND[[#This Row],[STATUS]]="PERDIDO","PERDIDO",IF(VEND[[#This Row],[STATUS]]="EN ESPERA","EN ESPERA")))</f>
        <v>EN ESPERA</v>
      </c>
      <c r="U742" s="112" t="s">
        <v>46</v>
      </c>
      <c r="V742" s="112" t="s">
        <v>46</v>
      </c>
      <c r="W742" s="112" t="s">
        <v>1407</v>
      </c>
      <c r="X742" s="112" t="s">
        <v>2581</v>
      </c>
    </row>
    <row r="743" spans="2:24" ht="15.75" x14ac:dyDescent="0.25">
      <c r="B743" s="71">
        <v>44377</v>
      </c>
      <c r="C743" s="195" t="str">
        <f>TEXT(VEND[[#This Row],[Fecha de Envío
Cotización]],"mmmm")</f>
        <v>junio</v>
      </c>
      <c r="D743" s="66" t="s">
        <v>945</v>
      </c>
      <c r="E743" s="190" t="s">
        <v>88</v>
      </c>
      <c r="F743" s="125" t="str">
        <f>IF(VEND[[#This Row],[STATUS]]="PERDIDO","N/A","En espera")</f>
        <v>En espera</v>
      </c>
      <c r="G743" s="93" t="str">
        <f>TEXT(VEND[[#This Row],[Fecha Recibe
O.C]],"mmmm")</f>
        <v>En espera</v>
      </c>
      <c r="H743" s="112">
        <v>890</v>
      </c>
      <c r="I743" s="112" t="s">
        <v>130</v>
      </c>
      <c r="J743" s="112"/>
      <c r="K743" s="58">
        <v>1</v>
      </c>
      <c r="L743" s="123">
        <v>1871.1</v>
      </c>
      <c r="M743" s="112" t="s">
        <v>77</v>
      </c>
      <c r="N743" s="112">
        <v>7</v>
      </c>
      <c r="O743" s="212" t="str">
        <f>IF(VEND[[#This Row],[STATUS]]="O.C",(VEND[[#This Row],[Fecha Recibe
O.C]]+VEND[[#This Row],[Dias
entrega ]]),"")</f>
        <v/>
      </c>
      <c r="P743" s="212"/>
      <c r="Q743" s="58" t="str">
        <f>IFERROR(VEND[[#This Row],[Fecha de Despacho]]-VEND[[#This Row],[Fecha Estimada de Entrega a  Cliente]],"")</f>
        <v/>
      </c>
      <c r="R743" s="58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3" s="112" t="str">
        <f>IF(VEND[[#This Row],[STATUS]]="O.C","APROBADO",IF(VEND[[#This Row],[STATUS]]="PERDIDO","PERDIDO",IF(VEND[[#This Row],[STATUS]]="EN ESPERA","EN ESPERA")))</f>
        <v>EN ESPERA</v>
      </c>
      <c r="T743" s="112" t="str">
        <f>IF(VEND[[#This Row],[STATUS]]="O.C","APROBADO",IF(VEND[[#This Row],[STATUS]]="PERDIDO","PERDIDO",IF(VEND[[#This Row],[STATUS]]="EN ESPERA","EN ESPERA")))</f>
        <v>EN ESPERA</v>
      </c>
      <c r="U743" s="112" t="s">
        <v>46</v>
      </c>
      <c r="V743" s="112" t="s">
        <v>46</v>
      </c>
      <c r="W743" s="112" t="s">
        <v>1409</v>
      </c>
      <c r="X743" s="112"/>
    </row>
    <row r="744" spans="2:24" ht="15.75" x14ac:dyDescent="0.25">
      <c r="B744" s="126">
        <v>44377</v>
      </c>
      <c r="C744" s="188" t="str">
        <f>TEXT(VEND[[#This Row],[Fecha de Envío
Cotización]],"mmmm")</f>
        <v>junio</v>
      </c>
      <c r="D744" s="66" t="s">
        <v>945</v>
      </c>
      <c r="E744" s="190" t="s">
        <v>88</v>
      </c>
      <c r="F744" s="125" t="str">
        <f>IF(VEND[[#This Row],[STATUS]]="PERDIDO","N/A","En espera")</f>
        <v>En espera</v>
      </c>
      <c r="G744" s="127" t="str">
        <f>TEXT(VEND[[#This Row],[Fecha Recibe
O.C]],"mmmm")</f>
        <v>En espera</v>
      </c>
      <c r="H744" s="128">
        <v>895</v>
      </c>
      <c r="I744" s="112" t="s">
        <v>31</v>
      </c>
      <c r="J744" s="128"/>
      <c r="K744" s="129">
        <v>1</v>
      </c>
      <c r="L744" s="189">
        <v>5200</v>
      </c>
      <c r="M744" s="112" t="s">
        <v>2565</v>
      </c>
      <c r="N744" s="112">
        <v>5</v>
      </c>
      <c r="O744" s="212" t="str">
        <f>IF(VEND[[#This Row],[STATUS]]="O.C",(VEND[[#This Row],[Fecha Recibe
O.C]]+VEND[[#This Row],[Dias
entrega ]]),"")</f>
        <v/>
      </c>
      <c r="P744" s="216"/>
      <c r="Q744" s="129" t="str">
        <f>IFERROR(VEND[[#This Row],[Fecha de Despacho]]-VEND[[#This Row],[Fecha Estimada de Entrega a  Cliente]],"")</f>
        <v/>
      </c>
      <c r="R744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4" s="128" t="str">
        <f>IF(VEND[[#This Row],[STATUS]]="O.C","APROBADO",IF(VEND[[#This Row],[STATUS]]="PERDIDO","PERDIDO",IF(VEND[[#This Row],[STATUS]]="EN ESPERA","EN ESPERA")))</f>
        <v>EN ESPERA</v>
      </c>
      <c r="T744" s="128" t="str">
        <f>IF(VEND[[#This Row],[STATUS]]="O.C","APROBADO",IF(VEND[[#This Row],[STATUS]]="PERDIDO","PERDIDO",IF(VEND[[#This Row],[STATUS]]="EN ESPERA","EN ESPERA")))</f>
        <v>EN ESPERA</v>
      </c>
      <c r="U744" s="112" t="s">
        <v>46</v>
      </c>
      <c r="V744" s="112" t="s">
        <v>46</v>
      </c>
      <c r="W744" s="112" t="s">
        <v>1410</v>
      </c>
      <c r="X744" s="128"/>
    </row>
    <row r="745" spans="2:24" ht="15.75" x14ac:dyDescent="0.25">
      <c r="B745" s="126">
        <v>44377</v>
      </c>
      <c r="C745" s="188" t="str">
        <f>TEXT(VEND[[#This Row],[Fecha de Envío
Cotización]],"mmmm")</f>
        <v>junio</v>
      </c>
      <c r="D745" s="66" t="s">
        <v>50</v>
      </c>
      <c r="E745" s="190" t="s">
        <v>88</v>
      </c>
      <c r="F745" s="125" t="str">
        <f>IF(VEND[[#This Row],[STATUS]]="PERDIDO","N/A","En espera")</f>
        <v>En espera</v>
      </c>
      <c r="G745" s="127" t="str">
        <f>TEXT(VEND[[#This Row],[Fecha Recibe
O.C]],"mmmm")</f>
        <v>En espera</v>
      </c>
      <c r="H745" s="128">
        <v>893</v>
      </c>
      <c r="I745" s="112" t="s">
        <v>283</v>
      </c>
      <c r="J745" s="128"/>
      <c r="K745" s="129">
        <v>1</v>
      </c>
      <c r="L745" s="189">
        <v>3373.76</v>
      </c>
      <c r="M745" s="112" t="s">
        <v>73</v>
      </c>
      <c r="N745" s="112">
        <v>14</v>
      </c>
      <c r="O745" s="212" t="str">
        <f>IF(VEND[[#This Row],[STATUS]]="O.C",(VEND[[#This Row],[Fecha Recibe
O.C]]+VEND[[#This Row],[Dias
entrega ]]),"")</f>
        <v/>
      </c>
      <c r="P745" s="216"/>
      <c r="Q745" s="129" t="str">
        <f>IFERROR(VEND[[#This Row],[Fecha de Despacho]]-VEND[[#This Row],[Fecha Estimada de Entrega a  Cliente]],"")</f>
        <v/>
      </c>
      <c r="R745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5" s="128" t="str">
        <f>IF(VEND[[#This Row],[STATUS]]="O.C","APROBADO",IF(VEND[[#This Row],[STATUS]]="PERDIDO","PERDIDO",IF(VEND[[#This Row],[STATUS]]="EN ESPERA","EN ESPERA")))</f>
        <v>EN ESPERA</v>
      </c>
      <c r="T745" s="128" t="str">
        <f>IF(VEND[[#This Row],[STATUS]]="O.C","APROBADO",IF(VEND[[#This Row],[STATUS]]="PERDIDO","PERDIDO",IF(VEND[[#This Row],[STATUS]]="EN ESPERA","EN ESPERA")))</f>
        <v>EN ESPERA</v>
      </c>
      <c r="U745" s="112" t="s">
        <v>46</v>
      </c>
      <c r="V745" s="112" t="s">
        <v>46</v>
      </c>
      <c r="W745" s="112" t="s">
        <v>1658</v>
      </c>
      <c r="X745" s="128"/>
    </row>
    <row r="746" spans="2:24" ht="15.75" x14ac:dyDescent="0.25">
      <c r="B746" s="126">
        <v>44377</v>
      </c>
      <c r="C746" s="188" t="str">
        <f>TEXT(VEND[[#This Row],[Fecha de Envío
Cotización]],"mmmm")</f>
        <v>junio</v>
      </c>
      <c r="D746" s="66" t="s">
        <v>945</v>
      </c>
      <c r="E746" s="190" t="s">
        <v>88</v>
      </c>
      <c r="F746" s="125" t="str">
        <f>IF(VEND[[#This Row],[STATUS]]="PERDIDO","N/A","En espera")</f>
        <v>En espera</v>
      </c>
      <c r="G746" s="127" t="str">
        <f>TEXT(VEND[[#This Row],[Fecha Recibe
O.C]],"mmmm")</f>
        <v>En espera</v>
      </c>
      <c r="H746" s="128">
        <v>896</v>
      </c>
      <c r="I746" s="112" t="s">
        <v>31</v>
      </c>
      <c r="J746" s="128"/>
      <c r="K746" s="129">
        <v>1</v>
      </c>
      <c r="L746" s="189">
        <v>346.84</v>
      </c>
      <c r="M746" s="112" t="s">
        <v>119</v>
      </c>
      <c r="N746" s="112">
        <v>0</v>
      </c>
      <c r="O746" s="212" t="str">
        <f>IF(VEND[[#This Row],[STATUS]]="O.C",(VEND[[#This Row],[Fecha Recibe
O.C]]+VEND[[#This Row],[Dias
entrega ]]),"")</f>
        <v/>
      </c>
      <c r="P746" s="216"/>
      <c r="Q746" s="129" t="str">
        <f>IFERROR(VEND[[#This Row],[Fecha de Despacho]]-VEND[[#This Row],[Fecha Estimada de Entrega a  Cliente]],"")</f>
        <v/>
      </c>
      <c r="R746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6" s="128" t="str">
        <f>IF(VEND[[#This Row],[STATUS]]="O.C","APROBADO",IF(VEND[[#This Row],[STATUS]]="PERDIDO","PERDIDO",IF(VEND[[#This Row],[STATUS]]="EN ESPERA","EN ESPERA")))</f>
        <v>EN ESPERA</v>
      </c>
      <c r="T746" s="128" t="str">
        <f>IF(VEND[[#This Row],[STATUS]]="O.C","APROBADO",IF(VEND[[#This Row],[STATUS]]="PERDIDO","PERDIDO",IF(VEND[[#This Row],[STATUS]]="EN ESPERA","EN ESPERA")))</f>
        <v>EN ESPERA</v>
      </c>
      <c r="U746" s="112" t="s">
        <v>46</v>
      </c>
      <c r="V746" s="112" t="s">
        <v>46</v>
      </c>
      <c r="W746" s="112" t="s">
        <v>1410</v>
      </c>
      <c r="X746" s="128"/>
    </row>
    <row r="747" spans="2:24" ht="15.75" x14ac:dyDescent="0.25">
      <c r="B747" s="126">
        <v>44377</v>
      </c>
      <c r="C747" s="188" t="str">
        <f>TEXT(VEND[[#This Row],[Fecha de Envío
Cotización]],"mmmm")</f>
        <v>junio</v>
      </c>
      <c r="D747" s="66" t="s">
        <v>50</v>
      </c>
      <c r="E747" s="190" t="s">
        <v>88</v>
      </c>
      <c r="F747" s="125" t="str">
        <f>IF(VEND[[#This Row],[STATUS]]="PERDIDO","N/A","En espera")</f>
        <v>En espera</v>
      </c>
      <c r="G747" s="127" t="str">
        <f>TEXT(VEND[[#This Row],[Fecha Recibe
O.C]],"mmmm")</f>
        <v>En espera</v>
      </c>
      <c r="H747" s="128">
        <v>897</v>
      </c>
      <c r="I747" s="112" t="s">
        <v>283</v>
      </c>
      <c r="J747" s="128"/>
      <c r="K747" s="129">
        <v>4</v>
      </c>
      <c r="L747" s="189">
        <v>3929.4</v>
      </c>
      <c r="M747" s="112" t="s">
        <v>36</v>
      </c>
      <c r="N747" s="112">
        <v>28</v>
      </c>
      <c r="O747" s="212" t="str">
        <f>IF(VEND[[#This Row],[STATUS]]="O.C",(VEND[[#This Row],[Fecha Recibe
O.C]]+VEND[[#This Row],[Dias
entrega ]]),"")</f>
        <v/>
      </c>
      <c r="P747" s="216"/>
      <c r="Q747" s="129" t="str">
        <f>IFERROR(VEND[[#This Row],[Fecha de Despacho]]-VEND[[#This Row],[Fecha Estimada de Entrega a  Cliente]],"")</f>
        <v/>
      </c>
      <c r="R747" s="129" t="str">
        <f>IFERROR(_xlfn.IFS(VEND[[#This Row],[Fecha de Despacho]]&gt;VEND[[#This Row],[Fecha Estimada de Entrega a  Cliente]],"ATRASADO",VEND[[#This Row],[Fecha de Despacho]]&lt;=VEND[[#This Row],[Fecha Estimada de Entrega a  Cliente]],"A TIEMPO"),"")</f>
        <v>A TIEMPO</v>
      </c>
      <c r="S747" s="128" t="str">
        <f>IF(VEND[[#This Row],[STATUS]]="O.C","APROBADO",IF(VEND[[#This Row],[STATUS]]="PERDIDO","PERDIDO",IF(VEND[[#This Row],[STATUS]]="EN ESPERA","EN ESPERA")))</f>
        <v>EN ESPERA</v>
      </c>
      <c r="T747" s="128" t="str">
        <f>IF(VEND[[#This Row],[STATUS]]="O.C","APROBADO",IF(VEND[[#This Row],[STATUS]]="PERDIDO","PERDIDO",IF(VEND[[#This Row],[STATUS]]="EN ESPERA","EN ESPERA")))</f>
        <v>EN ESPERA</v>
      </c>
      <c r="U747" s="112" t="s">
        <v>46</v>
      </c>
      <c r="V747" s="112" t="s">
        <v>46</v>
      </c>
      <c r="W747" s="112" t="s">
        <v>1658</v>
      </c>
      <c r="X747" s="128"/>
    </row>
  </sheetData>
  <phoneticPr fontId="12" type="noConversion"/>
  <conditionalFormatting sqref="S1:W1048576">
    <cfRule type="containsText" dxfId="75" priority="17" operator="containsText" text="EN ESPERA">
      <formula>NOT(ISERROR(SEARCH("EN ESPERA",S1)))</formula>
    </cfRule>
    <cfRule type="containsText" dxfId="74" priority="18" operator="containsText" text="N/A">
      <formula>NOT(ISERROR(SEARCH("N/A",S1)))</formula>
    </cfRule>
    <cfRule type="containsText" dxfId="73" priority="19" operator="containsText" text="COBRADO">
      <formula>NOT(ISERROR(SEARCH("COBRADO",S1)))</formula>
    </cfRule>
    <cfRule type="containsText" dxfId="72" priority="20" operator="containsText" text="ENTREGADO">
      <formula>NOT(ISERROR(SEARCH("ENTREGADO",S1)))</formula>
    </cfRule>
    <cfRule type="containsText" dxfId="71" priority="21" operator="containsText" text="PERDIDO">
      <formula>NOT(ISERROR(SEARCH("PERDIDO",S1)))</formula>
    </cfRule>
    <cfRule type="containsText" dxfId="70" priority="22" operator="containsText" text="APROBADO">
      <formula>NOT(ISERROR(SEARCH("APROBADO",S1)))</formula>
    </cfRule>
  </conditionalFormatting>
  <conditionalFormatting sqref="E7 E1:G6 E8:G328 E329:F329 E330:G1048576">
    <cfRule type="containsText" dxfId="69" priority="14" operator="containsText" text="O.C">
      <formula>NOT(ISERROR(SEARCH("O.C",E1)))</formula>
    </cfRule>
    <cfRule type="containsText" dxfId="68" priority="15" stopIfTrue="1" operator="containsText" text="N/A">
      <formula>NOT(ISERROR(SEARCH("N/A",E1)))</formula>
    </cfRule>
    <cfRule type="containsText" dxfId="67" priority="16" operator="containsText" text="PERDIDO">
      <formula>NOT(ISERROR(SEARCH("PERDIDO",E1)))</formula>
    </cfRule>
  </conditionalFormatting>
  <conditionalFormatting sqref="E1:G328 E329:F329 E330:G1048576">
    <cfRule type="containsText" dxfId="66" priority="13" operator="containsText" text="EN ESPERA">
      <formula>NOT(ISERROR(SEARCH("EN ESPERA",E1)))</formula>
    </cfRule>
  </conditionalFormatting>
  <conditionalFormatting sqref="R8:R747">
    <cfRule type="containsText" dxfId="65" priority="8" operator="containsText" text="ATRASADO">
      <formula>NOT(ISERROR(SEARCH("ATRASADO",R8)))</formula>
    </cfRule>
  </conditionalFormatting>
  <conditionalFormatting sqref="R1:R1048576">
    <cfRule type="containsText" dxfId="64" priority="7" operator="containsText" text="A TIEMPO">
      <formula>NOT(ISERROR(SEARCH("A TIEMPO",R1)))</formula>
    </cfRule>
  </conditionalFormatting>
  <conditionalFormatting sqref="Q8:Q747">
    <cfRule type="cellIs" dxfId="63" priority="5" operator="lessThanOrEqual">
      <formula>0</formula>
    </cfRule>
    <cfRule type="cellIs" dxfId="62" priority="6" operator="greaterThan">
      <formula>0</formula>
    </cfRule>
  </conditionalFormatting>
  <conditionalFormatting sqref="G329">
    <cfRule type="containsText" dxfId="61" priority="2" operator="containsText" text="O.C">
      <formula>NOT(ISERROR(SEARCH("O.C",G329)))</formula>
    </cfRule>
    <cfRule type="containsText" dxfId="60" priority="3" stopIfTrue="1" operator="containsText" text="N/A">
      <formula>NOT(ISERROR(SEARCH("N/A",G329)))</formula>
    </cfRule>
    <cfRule type="containsText" dxfId="59" priority="4" operator="containsText" text="PERDIDO">
      <formula>NOT(ISERROR(SEARCH("PERDIDO",G329)))</formula>
    </cfRule>
  </conditionalFormatting>
  <conditionalFormatting sqref="G329">
    <cfRule type="containsText" dxfId="58" priority="1" operator="containsText" text="EN ESPERA">
      <formula>NOT(ISERROR(SEARCH("EN ESPERA",G329)))</formula>
    </cfRule>
  </conditionalFormatting>
  <pageMargins left="0.7" right="0.7" top="0.75" bottom="0.75" header="0.3" footer="0.3"/>
  <pageSetup orientation="portrait" r:id="rId1"/>
  <ignoredErrors>
    <ignoredError sqref="G7 C7 C8:C647 F11:F647 G8:G647 C739 F739 G739 C740:G740 C743:G745 C664:C738 F664:F711 G664:G738 C746:G747 C648:C663 F648:F663 G648:G663 C741:G742 F713:F737" unlockedFormula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9:F129"/>
  <sheetViews>
    <sheetView showGridLines="0" topLeftCell="A25" workbookViewId="0">
      <selection activeCell="D6" sqref="D6"/>
    </sheetView>
  </sheetViews>
  <sheetFormatPr baseColWidth="10" defaultRowHeight="15" x14ac:dyDescent="0.25"/>
  <cols>
    <col min="2" max="2" width="14.140625" bestFit="1" customWidth="1"/>
    <col min="3" max="3" width="54.28515625" style="11" bestFit="1" customWidth="1"/>
    <col min="4" max="4" width="132.140625" style="3" bestFit="1" customWidth="1"/>
    <col min="5" max="5" width="27.5703125" bestFit="1" customWidth="1"/>
    <col min="6" max="6" width="39" customWidth="1"/>
  </cols>
  <sheetData>
    <row r="9" spans="2:6" s="1" customFormat="1" x14ac:dyDescent="0.25">
      <c r="B9" s="1" t="s">
        <v>217</v>
      </c>
      <c r="C9" s="1" t="s">
        <v>145</v>
      </c>
      <c r="D9" s="1" t="s">
        <v>5</v>
      </c>
      <c r="E9" s="1" t="s">
        <v>6</v>
      </c>
      <c r="F9" s="1" t="s">
        <v>7</v>
      </c>
    </row>
    <row r="10" spans="2:6" s="1" customFormat="1" x14ac:dyDescent="0.25">
      <c r="B10" s="1" t="s">
        <v>218</v>
      </c>
      <c r="C10" s="1" t="s">
        <v>219</v>
      </c>
      <c r="D10" s="17" t="s">
        <v>220</v>
      </c>
      <c r="E10" s="2" t="s">
        <v>418</v>
      </c>
    </row>
    <row r="11" spans="2:6" x14ac:dyDescent="0.25">
      <c r="B11" s="1" t="s">
        <v>221</v>
      </c>
      <c r="C11" s="1" t="s">
        <v>125</v>
      </c>
      <c r="D11" s="17" t="s">
        <v>222</v>
      </c>
      <c r="E11" s="2" t="s">
        <v>223</v>
      </c>
      <c r="F11" s="1"/>
    </row>
    <row r="12" spans="2:6" x14ac:dyDescent="0.25">
      <c r="B12" s="1"/>
      <c r="C12" s="1" t="s">
        <v>144</v>
      </c>
      <c r="D12" s="18" t="s">
        <v>427</v>
      </c>
      <c r="E12" s="2" t="s">
        <v>428</v>
      </c>
      <c r="F12" s="1"/>
    </row>
    <row r="13" spans="2:6" x14ac:dyDescent="0.25">
      <c r="B13" s="1" t="s">
        <v>224</v>
      </c>
      <c r="C13" s="1" t="s">
        <v>225</v>
      </c>
      <c r="D13" s="17" t="s">
        <v>226</v>
      </c>
      <c r="E13" s="2"/>
      <c r="F13" s="1"/>
    </row>
    <row r="14" spans="2:6" x14ac:dyDescent="0.25">
      <c r="B14" s="1" t="s">
        <v>227</v>
      </c>
      <c r="C14" s="1" t="s">
        <v>228</v>
      </c>
      <c r="D14" s="17" t="s">
        <v>229</v>
      </c>
      <c r="E14" s="2" t="s">
        <v>409</v>
      </c>
      <c r="F14" s="1"/>
    </row>
    <row r="15" spans="2:6" x14ac:dyDescent="0.25">
      <c r="B15" s="1" t="s">
        <v>412</v>
      </c>
      <c r="C15" s="1" t="s">
        <v>413</v>
      </c>
      <c r="D15" s="17" t="s">
        <v>414</v>
      </c>
      <c r="E15" s="2"/>
      <c r="F15" s="1"/>
    </row>
    <row r="16" spans="2:6" x14ac:dyDescent="0.25">
      <c r="B16" s="1" t="s">
        <v>230</v>
      </c>
      <c r="C16" s="1" t="s">
        <v>231</v>
      </c>
      <c r="D16" s="17" t="s">
        <v>232</v>
      </c>
      <c r="E16" s="2" t="s">
        <v>233</v>
      </c>
      <c r="F16" s="1"/>
    </row>
    <row r="17" spans="2:6" x14ac:dyDescent="0.25">
      <c r="B17" s="1" t="s">
        <v>234</v>
      </c>
      <c r="C17" s="1" t="s">
        <v>235</v>
      </c>
      <c r="D17" s="17" t="s">
        <v>236</v>
      </c>
      <c r="E17" s="2" t="s">
        <v>237</v>
      </c>
      <c r="F17" s="1"/>
    </row>
    <row r="18" spans="2:6" x14ac:dyDescent="0.25">
      <c r="B18" s="1" t="s">
        <v>238</v>
      </c>
      <c r="C18" s="1" t="s">
        <v>239</v>
      </c>
      <c r="D18" s="17" t="s">
        <v>240</v>
      </c>
      <c r="E18" s="2" t="s">
        <v>241</v>
      </c>
      <c r="F18" s="1"/>
    </row>
    <row r="19" spans="2:6" x14ac:dyDescent="0.25">
      <c r="B19" s="1" t="s">
        <v>242</v>
      </c>
      <c r="C19" s="1" t="s">
        <v>243</v>
      </c>
      <c r="D19" s="17" t="s">
        <v>244</v>
      </c>
      <c r="E19" s="2" t="s">
        <v>245</v>
      </c>
      <c r="F19" s="1"/>
    </row>
    <row r="20" spans="2:6" x14ac:dyDescent="0.25">
      <c r="B20" s="1" t="s">
        <v>246</v>
      </c>
      <c r="C20" s="1" t="s">
        <v>247</v>
      </c>
      <c r="D20" s="17" t="s">
        <v>248</v>
      </c>
      <c r="E20" s="2" t="s">
        <v>249</v>
      </c>
      <c r="F20" s="1"/>
    </row>
    <row r="21" spans="2:6" x14ac:dyDescent="0.25">
      <c r="B21" s="1" t="s">
        <v>250</v>
      </c>
      <c r="C21" s="1" t="s">
        <v>251</v>
      </c>
      <c r="D21" s="17" t="s">
        <v>252</v>
      </c>
      <c r="E21" s="2"/>
      <c r="F21" s="1"/>
    </row>
    <row r="22" spans="2:6" x14ac:dyDescent="0.25">
      <c r="B22" s="1" t="s">
        <v>253</v>
      </c>
      <c r="C22" s="1" t="s">
        <v>254</v>
      </c>
      <c r="D22" s="17" t="s">
        <v>255</v>
      </c>
      <c r="E22" s="2" t="s">
        <v>256</v>
      </c>
      <c r="F22" s="1"/>
    </row>
    <row r="23" spans="2:6" x14ac:dyDescent="0.25">
      <c r="B23" s="1" t="s">
        <v>261</v>
      </c>
      <c r="C23" s="1" t="s">
        <v>262</v>
      </c>
      <c r="D23" s="17" t="s">
        <v>263</v>
      </c>
      <c r="E23" s="2" t="s">
        <v>264</v>
      </c>
      <c r="F23" s="1"/>
    </row>
    <row r="24" spans="2:6" x14ac:dyDescent="0.25">
      <c r="B24" s="1" t="s">
        <v>257</v>
      </c>
      <c r="C24" s="1" t="s">
        <v>258</v>
      </c>
      <c r="D24" s="17" t="s">
        <v>259</v>
      </c>
      <c r="E24" s="2" t="s">
        <v>260</v>
      </c>
      <c r="F24" s="1"/>
    </row>
    <row r="25" spans="2:6" x14ac:dyDescent="0.25">
      <c r="B25" s="1" t="s">
        <v>421</v>
      </c>
      <c r="C25" s="1" t="s">
        <v>143</v>
      </c>
      <c r="D25" s="17" t="s">
        <v>422</v>
      </c>
      <c r="E25" s="2" t="s">
        <v>423</v>
      </c>
      <c r="F25" s="1"/>
    </row>
    <row r="26" spans="2:6" x14ac:dyDescent="0.25">
      <c r="B26" s="1" t="s">
        <v>265</v>
      </c>
      <c r="C26" s="1" t="s">
        <v>13</v>
      </c>
      <c r="D26" s="17" t="s">
        <v>266</v>
      </c>
      <c r="E26" s="2"/>
      <c r="F26" s="1"/>
    </row>
    <row r="27" spans="2:6" x14ac:dyDescent="0.25">
      <c r="B27" s="1" t="s">
        <v>267</v>
      </c>
      <c r="C27" s="1" t="s">
        <v>96</v>
      </c>
      <c r="D27" s="17" t="s">
        <v>268</v>
      </c>
      <c r="E27" s="2" t="s">
        <v>1399</v>
      </c>
      <c r="F27" s="1"/>
    </row>
    <row r="28" spans="2:6" x14ac:dyDescent="0.25">
      <c r="B28" s="1" t="s">
        <v>269</v>
      </c>
      <c r="C28" s="1" t="s">
        <v>270</v>
      </c>
      <c r="D28" s="17" t="s">
        <v>271</v>
      </c>
      <c r="E28" s="2"/>
      <c r="F28" s="1"/>
    </row>
    <row r="29" spans="2:6" x14ac:dyDescent="0.25">
      <c r="B29" s="1" t="s">
        <v>272</v>
      </c>
      <c r="C29" s="1" t="s">
        <v>81</v>
      </c>
      <c r="D29" s="17" t="s">
        <v>273</v>
      </c>
      <c r="E29" s="2" t="s">
        <v>274</v>
      </c>
      <c r="F29" s="1"/>
    </row>
    <row r="30" spans="2:6" x14ac:dyDescent="0.25">
      <c r="B30" s="1"/>
      <c r="C30" s="1" t="s">
        <v>407</v>
      </c>
      <c r="D30" s="17" t="s">
        <v>410</v>
      </c>
      <c r="E30" s="2" t="s">
        <v>408</v>
      </c>
      <c r="F30" s="1"/>
    </row>
    <row r="31" spans="2:6" x14ac:dyDescent="0.25">
      <c r="B31" s="1" t="s">
        <v>278</v>
      </c>
      <c r="C31" s="1" t="s">
        <v>279</v>
      </c>
      <c r="D31" s="17" t="s">
        <v>280</v>
      </c>
      <c r="E31" s="2" t="s">
        <v>281</v>
      </c>
      <c r="F31" s="1"/>
    </row>
    <row r="32" spans="2:6" x14ac:dyDescent="0.25">
      <c r="B32" s="1" t="s">
        <v>275</v>
      </c>
      <c r="C32" s="1" t="s">
        <v>276</v>
      </c>
      <c r="D32" s="17" t="s">
        <v>277</v>
      </c>
      <c r="E32" s="2"/>
      <c r="F32" s="1"/>
    </row>
    <row r="33" spans="2:6" x14ac:dyDescent="0.25">
      <c r="B33" s="1" t="s">
        <v>415</v>
      </c>
      <c r="C33" s="1" t="s">
        <v>416</v>
      </c>
      <c r="D33" s="17" t="s">
        <v>417</v>
      </c>
      <c r="E33" s="2"/>
      <c r="F33" s="1"/>
    </row>
    <row r="34" spans="2:6" x14ac:dyDescent="0.25">
      <c r="B34" s="1" t="s">
        <v>282</v>
      </c>
      <c r="C34" s="1" t="s">
        <v>283</v>
      </c>
      <c r="D34" s="17" t="s">
        <v>284</v>
      </c>
      <c r="E34" s="2" t="s">
        <v>285</v>
      </c>
      <c r="F34" s="1"/>
    </row>
    <row r="35" spans="2:6" x14ac:dyDescent="0.25">
      <c r="B35" s="1" t="s">
        <v>286</v>
      </c>
      <c r="C35" s="1" t="s">
        <v>287</v>
      </c>
      <c r="D35" s="17" t="s">
        <v>288</v>
      </c>
      <c r="E35" s="2" t="s">
        <v>289</v>
      </c>
      <c r="F35" s="1"/>
    </row>
    <row r="36" spans="2:6" x14ac:dyDescent="0.25">
      <c r="B36" s="1" t="s">
        <v>290</v>
      </c>
      <c r="C36" s="1" t="s">
        <v>291</v>
      </c>
      <c r="D36" s="17" t="s">
        <v>292</v>
      </c>
      <c r="E36" s="2" t="s">
        <v>293</v>
      </c>
      <c r="F36" s="1"/>
    </row>
    <row r="37" spans="2:6" x14ac:dyDescent="0.25">
      <c r="B37" s="1" t="s">
        <v>294</v>
      </c>
      <c r="C37" s="1" t="s">
        <v>53</v>
      </c>
      <c r="D37" s="17" t="s">
        <v>295</v>
      </c>
      <c r="E37" s="2" t="s">
        <v>296</v>
      </c>
      <c r="F37" s="1"/>
    </row>
    <row r="38" spans="2:6" x14ac:dyDescent="0.25">
      <c r="B38" s="1" t="s">
        <v>297</v>
      </c>
      <c r="C38" s="1" t="s">
        <v>298</v>
      </c>
      <c r="D38" s="17" t="s">
        <v>299</v>
      </c>
      <c r="E38" s="2" t="s">
        <v>300</v>
      </c>
      <c r="F38" s="1"/>
    </row>
    <row r="39" spans="2:6" x14ac:dyDescent="0.25">
      <c r="B39" s="1" t="s">
        <v>301</v>
      </c>
      <c r="C39" s="1" t="s">
        <v>302</v>
      </c>
      <c r="D39" s="17" t="s">
        <v>303</v>
      </c>
      <c r="E39" s="2" t="s">
        <v>304</v>
      </c>
      <c r="F39" s="1"/>
    </row>
    <row r="40" spans="2:6" x14ac:dyDescent="0.25">
      <c r="B40" s="1" t="s">
        <v>305</v>
      </c>
      <c r="C40" s="1" t="s">
        <v>306</v>
      </c>
      <c r="D40" s="17" t="s">
        <v>307</v>
      </c>
      <c r="E40" s="2" t="s">
        <v>308</v>
      </c>
      <c r="F40" s="1"/>
    </row>
    <row r="41" spans="2:6" x14ac:dyDescent="0.25">
      <c r="B41" s="1" t="s">
        <v>309</v>
      </c>
      <c r="C41" s="1" t="s">
        <v>310</v>
      </c>
      <c r="D41" s="17" t="s">
        <v>311</v>
      </c>
      <c r="E41" s="2" t="s">
        <v>312</v>
      </c>
      <c r="F41" s="1"/>
    </row>
    <row r="42" spans="2:6" x14ac:dyDescent="0.25">
      <c r="B42" s="1" t="s">
        <v>313</v>
      </c>
      <c r="C42" s="1" t="s">
        <v>109</v>
      </c>
      <c r="D42" s="17" t="s">
        <v>229</v>
      </c>
      <c r="E42" s="2"/>
      <c r="F42" s="1"/>
    </row>
    <row r="43" spans="2:6" x14ac:dyDescent="0.25">
      <c r="B43" s="1" t="s">
        <v>314</v>
      </c>
      <c r="C43" s="1" t="s">
        <v>315</v>
      </c>
      <c r="D43" s="17" t="s">
        <v>316</v>
      </c>
      <c r="E43" s="2" t="s">
        <v>317</v>
      </c>
      <c r="F43" s="1"/>
    </row>
    <row r="44" spans="2:6" x14ac:dyDescent="0.25">
      <c r="B44" s="1"/>
      <c r="C44" s="1" t="s">
        <v>60</v>
      </c>
      <c r="D44" s="17" t="s">
        <v>318</v>
      </c>
      <c r="E44" s="2"/>
      <c r="F44" s="1"/>
    </row>
    <row r="45" spans="2:6" x14ac:dyDescent="0.25">
      <c r="B45" s="1" t="s">
        <v>319</v>
      </c>
      <c r="C45" s="1" t="s">
        <v>320</v>
      </c>
      <c r="D45" s="17" t="s">
        <v>321</v>
      </c>
      <c r="E45" s="2" t="s">
        <v>322</v>
      </c>
      <c r="F45" s="1"/>
    </row>
    <row r="46" spans="2:6" x14ac:dyDescent="0.25">
      <c r="B46" s="1" t="s">
        <v>323</v>
      </c>
      <c r="C46" s="1" t="s">
        <v>117</v>
      </c>
      <c r="D46" s="17" t="s">
        <v>324</v>
      </c>
      <c r="E46" s="2" t="s">
        <v>325</v>
      </c>
      <c r="F46" s="1"/>
    </row>
    <row r="47" spans="2:6" x14ac:dyDescent="0.25">
      <c r="B47" s="1" t="s">
        <v>326</v>
      </c>
      <c r="C47" s="1" t="s">
        <v>327</v>
      </c>
      <c r="D47" s="17" t="s">
        <v>328</v>
      </c>
      <c r="E47" s="2"/>
      <c r="F47" s="1"/>
    </row>
    <row r="48" spans="2:6" x14ac:dyDescent="0.25">
      <c r="B48" s="1"/>
      <c r="C48" s="1" t="s">
        <v>329</v>
      </c>
      <c r="D48" s="17" t="s">
        <v>330</v>
      </c>
      <c r="E48" s="2"/>
      <c r="F48" s="1"/>
    </row>
    <row r="49" spans="2:6" x14ac:dyDescent="0.25">
      <c r="B49" s="1" t="s">
        <v>331</v>
      </c>
      <c r="C49" s="1" t="s">
        <v>332</v>
      </c>
      <c r="D49" s="17" t="s">
        <v>333</v>
      </c>
      <c r="E49" s="2" t="s">
        <v>334</v>
      </c>
      <c r="F49" s="1"/>
    </row>
    <row r="50" spans="2:6" x14ac:dyDescent="0.25">
      <c r="B50" s="1" t="s">
        <v>335</v>
      </c>
      <c r="C50" s="1" t="s">
        <v>33</v>
      </c>
      <c r="D50" s="17" t="s">
        <v>336</v>
      </c>
      <c r="E50" s="2" t="s">
        <v>337</v>
      </c>
      <c r="F50" s="1"/>
    </row>
    <row r="51" spans="2:6" x14ac:dyDescent="0.25">
      <c r="B51" s="1"/>
      <c r="C51" s="1" t="s">
        <v>75</v>
      </c>
      <c r="D51" s="17" t="s">
        <v>338</v>
      </c>
      <c r="E51" s="2"/>
      <c r="F51" s="1"/>
    </row>
    <row r="52" spans="2:6" x14ac:dyDescent="0.25">
      <c r="B52" s="1"/>
      <c r="C52" s="1" t="s">
        <v>948</v>
      </c>
      <c r="D52" s="17" t="s">
        <v>946</v>
      </c>
      <c r="E52" s="2" t="s">
        <v>947</v>
      </c>
      <c r="F52" s="1"/>
    </row>
    <row r="53" spans="2:6" x14ac:dyDescent="0.25">
      <c r="B53" s="1" t="s">
        <v>339</v>
      </c>
      <c r="C53" s="1" t="s">
        <v>340</v>
      </c>
      <c r="D53" s="17" t="s">
        <v>341</v>
      </c>
      <c r="E53" s="2" t="s">
        <v>342</v>
      </c>
      <c r="F53" s="1"/>
    </row>
    <row r="54" spans="2:6" x14ac:dyDescent="0.25">
      <c r="B54" s="1"/>
      <c r="C54" s="1" t="s">
        <v>343</v>
      </c>
      <c r="D54" s="17" t="s">
        <v>344</v>
      </c>
      <c r="E54" s="2"/>
      <c r="F54" s="1"/>
    </row>
    <row r="55" spans="2:6" x14ac:dyDescent="0.25">
      <c r="B55" s="1" t="s">
        <v>345</v>
      </c>
      <c r="C55" s="1" t="s">
        <v>346</v>
      </c>
      <c r="D55" s="17" t="s">
        <v>347</v>
      </c>
      <c r="E55" s="2"/>
      <c r="F55" s="1"/>
    </row>
    <row r="56" spans="2:6" x14ac:dyDescent="0.25">
      <c r="B56" s="1" t="s">
        <v>348</v>
      </c>
      <c r="C56" s="1" t="s">
        <v>34</v>
      </c>
      <c r="D56" s="17" t="s">
        <v>349</v>
      </c>
      <c r="E56" s="2" t="s">
        <v>350</v>
      </c>
      <c r="F56" s="1"/>
    </row>
    <row r="57" spans="2:6" x14ac:dyDescent="0.25">
      <c r="B57" s="1" t="s">
        <v>351</v>
      </c>
      <c r="C57" s="1" t="s">
        <v>352</v>
      </c>
      <c r="D57" s="17" t="s">
        <v>353</v>
      </c>
      <c r="E57" s="2" t="s">
        <v>354</v>
      </c>
      <c r="F57" s="1"/>
    </row>
    <row r="58" spans="2:6" x14ac:dyDescent="0.25">
      <c r="B58" s="1" t="s">
        <v>355</v>
      </c>
      <c r="C58" s="1" t="s">
        <v>356</v>
      </c>
      <c r="D58" s="17" t="s">
        <v>357</v>
      </c>
      <c r="E58" s="2" t="s">
        <v>358</v>
      </c>
      <c r="F58" s="1"/>
    </row>
    <row r="59" spans="2:6" x14ac:dyDescent="0.25">
      <c r="B59" s="1" t="s">
        <v>359</v>
      </c>
      <c r="C59" s="1" t="s">
        <v>360</v>
      </c>
      <c r="D59" s="17" t="s">
        <v>361</v>
      </c>
      <c r="E59" s="2"/>
      <c r="F59" s="1"/>
    </row>
    <row r="60" spans="2:6" x14ac:dyDescent="0.25">
      <c r="B60" s="1" t="s">
        <v>362</v>
      </c>
      <c r="C60" s="1" t="s">
        <v>363</v>
      </c>
      <c r="D60" s="17" t="s">
        <v>364</v>
      </c>
      <c r="E60" s="2" t="s">
        <v>365</v>
      </c>
      <c r="F60" s="1"/>
    </row>
    <row r="61" spans="2:6" x14ac:dyDescent="0.25">
      <c r="B61" s="1" t="s">
        <v>366</v>
      </c>
      <c r="C61" s="1" t="s">
        <v>367</v>
      </c>
      <c r="D61" s="17" t="s">
        <v>411</v>
      </c>
      <c r="E61" s="2" t="s">
        <v>368</v>
      </c>
      <c r="F61" s="1"/>
    </row>
    <row r="62" spans="2:6" x14ac:dyDescent="0.25">
      <c r="B62" s="1" t="s">
        <v>369</v>
      </c>
      <c r="C62" s="1" t="s">
        <v>370</v>
      </c>
      <c r="D62" s="17" t="s">
        <v>371</v>
      </c>
      <c r="E62" s="2" t="s">
        <v>372</v>
      </c>
      <c r="F62" s="1"/>
    </row>
    <row r="63" spans="2:6" x14ac:dyDescent="0.25">
      <c r="B63" s="1" t="s">
        <v>373</v>
      </c>
      <c r="C63" s="1" t="s">
        <v>374</v>
      </c>
      <c r="D63" s="17" t="s">
        <v>375</v>
      </c>
      <c r="E63" s="2" t="s">
        <v>376</v>
      </c>
      <c r="F63" s="1"/>
    </row>
    <row r="64" spans="2:6" x14ac:dyDescent="0.25">
      <c r="B64" s="1" t="s">
        <v>377</v>
      </c>
      <c r="C64" s="1" t="s">
        <v>378</v>
      </c>
      <c r="D64" s="17" t="s">
        <v>379</v>
      </c>
      <c r="E64" s="2" t="s">
        <v>380</v>
      </c>
      <c r="F64" s="1"/>
    </row>
    <row r="65" spans="2:6" x14ac:dyDescent="0.25">
      <c r="B65" s="1" t="s">
        <v>381</v>
      </c>
      <c r="C65" s="1" t="s">
        <v>382</v>
      </c>
      <c r="D65" s="17" t="s">
        <v>383</v>
      </c>
      <c r="E65" s="2" t="s">
        <v>384</v>
      </c>
      <c r="F65" s="1"/>
    </row>
    <row r="66" spans="2:6" x14ac:dyDescent="0.25">
      <c r="B66" s="1" t="s">
        <v>385</v>
      </c>
      <c r="C66" s="1" t="s">
        <v>102</v>
      </c>
      <c r="D66" s="17" t="s">
        <v>386</v>
      </c>
      <c r="E66" s="2"/>
      <c r="F66" s="1"/>
    </row>
    <row r="67" spans="2:6" x14ac:dyDescent="0.25">
      <c r="B67" s="37"/>
      <c r="C67" s="37" t="s">
        <v>424</v>
      </c>
      <c r="D67" s="17" t="s">
        <v>425</v>
      </c>
      <c r="E67" s="19" t="s">
        <v>426</v>
      </c>
      <c r="F67" s="37"/>
    </row>
    <row r="68" spans="2:6" x14ac:dyDescent="0.25">
      <c r="B68" s="37" t="s">
        <v>387</v>
      </c>
      <c r="C68" s="37" t="s">
        <v>388</v>
      </c>
      <c r="D68" s="17" t="s">
        <v>389</v>
      </c>
      <c r="E68" s="2" t="s">
        <v>390</v>
      </c>
      <c r="F68" s="37"/>
    </row>
    <row r="69" spans="2:6" x14ac:dyDescent="0.25">
      <c r="B69" s="37" t="s">
        <v>1266</v>
      </c>
      <c r="C69" s="37" t="s">
        <v>91</v>
      </c>
      <c r="D69" s="17" t="s">
        <v>391</v>
      </c>
      <c r="E69" s="2"/>
      <c r="F69" s="37"/>
    </row>
    <row r="70" spans="2:6" x14ac:dyDescent="0.25">
      <c r="B70" s="37" t="s">
        <v>392</v>
      </c>
      <c r="C70" s="37" t="s">
        <v>393</v>
      </c>
      <c r="D70" s="17" t="s">
        <v>394</v>
      </c>
      <c r="E70" s="2" t="s">
        <v>395</v>
      </c>
      <c r="F70" s="37"/>
    </row>
    <row r="71" spans="2:6" x14ac:dyDescent="0.25">
      <c r="B71" s="37"/>
      <c r="C71" s="37" t="s">
        <v>429</v>
      </c>
      <c r="D71" s="18" t="s">
        <v>430</v>
      </c>
      <c r="E71" s="20" t="s">
        <v>431</v>
      </c>
      <c r="F71" s="37"/>
    </row>
    <row r="72" spans="2:6" x14ac:dyDescent="0.25">
      <c r="B72" s="37" t="s">
        <v>396</v>
      </c>
      <c r="C72" s="37" t="s">
        <v>397</v>
      </c>
      <c r="D72" s="17" t="s">
        <v>398</v>
      </c>
      <c r="E72" s="2"/>
      <c r="F72" s="37"/>
    </row>
    <row r="73" spans="2:6" x14ac:dyDescent="0.25">
      <c r="B73" s="37" t="s">
        <v>399</v>
      </c>
      <c r="C73" s="37" t="s">
        <v>400</v>
      </c>
      <c r="D73" s="17" t="s">
        <v>401</v>
      </c>
      <c r="E73" s="2" t="s">
        <v>402</v>
      </c>
      <c r="F73" s="37"/>
    </row>
    <row r="74" spans="2:6" x14ac:dyDescent="0.25">
      <c r="B74" s="37" t="s">
        <v>403</v>
      </c>
      <c r="C74" s="37" t="s">
        <v>404</v>
      </c>
      <c r="D74" s="17" t="s">
        <v>405</v>
      </c>
      <c r="E74" s="2" t="s">
        <v>406</v>
      </c>
      <c r="F74" s="37"/>
    </row>
    <row r="75" spans="2:6" x14ac:dyDescent="0.25">
      <c r="C75"/>
      <c r="D75"/>
    </row>
    <row r="76" spans="2:6" x14ac:dyDescent="0.25">
      <c r="C76"/>
      <c r="D76"/>
    </row>
    <row r="77" spans="2:6" x14ac:dyDescent="0.25">
      <c r="C77"/>
      <c r="D77"/>
    </row>
    <row r="78" spans="2:6" x14ac:dyDescent="0.25">
      <c r="C78"/>
      <c r="D78"/>
    </row>
    <row r="79" spans="2:6" x14ac:dyDescent="0.25">
      <c r="C79"/>
      <c r="D79"/>
    </row>
    <row r="80" spans="2:6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3:I77"/>
  <sheetViews>
    <sheetView showGridLines="0" topLeftCell="A76" workbookViewId="0">
      <selection activeCell="C70" sqref="C70"/>
    </sheetView>
  </sheetViews>
  <sheetFormatPr baseColWidth="10" defaultRowHeight="15" x14ac:dyDescent="0.25"/>
  <cols>
    <col min="2" max="2" width="14.42578125" bestFit="1" customWidth="1"/>
    <col min="3" max="3" width="35.7109375" bestFit="1" customWidth="1"/>
    <col min="4" max="4" width="14.140625" bestFit="1" customWidth="1"/>
    <col min="5" max="5" width="37.85546875" bestFit="1" customWidth="1"/>
    <col min="6" max="6" width="16.28515625" customWidth="1"/>
    <col min="7" max="7" width="11.28515625" bestFit="1" customWidth="1"/>
    <col min="8" max="8" width="11.28515625" style="105" hidden="1" customWidth="1"/>
    <col min="9" max="9" width="65.5703125" style="42" bestFit="1" customWidth="1"/>
  </cols>
  <sheetData>
    <row r="3" spans="2:9" s="50" customFormat="1" x14ac:dyDescent="0.25">
      <c r="H3" s="105"/>
      <c r="I3" s="54"/>
    </row>
    <row r="4" spans="2:9" s="50" customFormat="1" x14ac:dyDescent="0.25">
      <c r="H4" s="105"/>
      <c r="I4" s="54"/>
    </row>
    <row r="6" spans="2:9" ht="30" x14ac:dyDescent="0.25">
      <c r="B6" s="80" t="s">
        <v>11</v>
      </c>
      <c r="C6" s="83" t="s">
        <v>145</v>
      </c>
      <c r="D6" s="83" t="s">
        <v>146</v>
      </c>
      <c r="E6" s="83" t="s">
        <v>147</v>
      </c>
      <c r="F6" s="83" t="s">
        <v>148</v>
      </c>
      <c r="G6" s="82" t="s">
        <v>149</v>
      </c>
      <c r="H6" s="82" t="s">
        <v>1633</v>
      </c>
      <c r="I6" s="83" t="s">
        <v>150</v>
      </c>
    </row>
    <row r="7" spans="2:9" s="37" customFormat="1" x14ac:dyDescent="0.25">
      <c r="B7" s="37" t="s">
        <v>68</v>
      </c>
      <c r="C7" s="37" t="s">
        <v>151</v>
      </c>
      <c r="D7" s="37" t="s">
        <v>152</v>
      </c>
      <c r="E7" s="37" t="s">
        <v>153</v>
      </c>
      <c r="F7" s="37" t="s">
        <v>154</v>
      </c>
      <c r="G7" s="13">
        <v>44298</v>
      </c>
      <c r="H7" s="13" t="str">
        <f>TEXT(visitas[[#This Row],[FECHA]],"mmmm")</f>
        <v>abril</v>
      </c>
      <c r="I7" s="37" t="s">
        <v>1662</v>
      </c>
    </row>
    <row r="8" spans="2:9" s="37" customFormat="1" x14ac:dyDescent="0.25">
      <c r="B8" s="37" t="s">
        <v>41</v>
      </c>
      <c r="C8" s="37" t="s">
        <v>939</v>
      </c>
      <c r="D8" s="37" t="s">
        <v>152</v>
      </c>
      <c r="E8" s="37" t="s">
        <v>153</v>
      </c>
      <c r="F8" s="37" t="s">
        <v>154</v>
      </c>
      <c r="G8" s="13">
        <v>44298</v>
      </c>
      <c r="H8" s="13" t="str">
        <f>TEXT(visitas[[#This Row],[FECHA]],"mmmm")</f>
        <v>abril</v>
      </c>
      <c r="I8" s="37" t="s">
        <v>1662</v>
      </c>
    </row>
    <row r="9" spans="2:9" s="37" customFormat="1" x14ac:dyDescent="0.25">
      <c r="B9" s="37" t="s">
        <v>155</v>
      </c>
      <c r="C9" s="37" t="s">
        <v>156</v>
      </c>
      <c r="D9" s="37" t="s">
        <v>152</v>
      </c>
      <c r="E9" s="37" t="s">
        <v>153</v>
      </c>
      <c r="F9" s="37" t="s">
        <v>154</v>
      </c>
      <c r="G9" s="13">
        <v>44298</v>
      </c>
      <c r="H9" s="13" t="str">
        <f>TEXT(visitas[[#This Row],[FECHA]],"mmmm")</f>
        <v>abril</v>
      </c>
      <c r="I9" s="37" t="s">
        <v>1662</v>
      </c>
    </row>
    <row r="10" spans="2:9" s="37" customFormat="1" x14ac:dyDescent="0.25">
      <c r="B10" s="37" t="s">
        <v>155</v>
      </c>
      <c r="C10" s="37" t="s">
        <v>157</v>
      </c>
      <c r="D10" s="37" t="s">
        <v>152</v>
      </c>
      <c r="E10" s="37" t="s">
        <v>153</v>
      </c>
      <c r="F10" s="37" t="s">
        <v>154</v>
      </c>
      <c r="G10" s="13">
        <v>44298</v>
      </c>
      <c r="H10" s="13" t="str">
        <f>TEXT(visitas[[#This Row],[FECHA]],"mmmm")</f>
        <v>abril</v>
      </c>
      <c r="I10" s="37" t="s">
        <v>1662</v>
      </c>
    </row>
    <row r="11" spans="2:9" s="37" customFormat="1" x14ac:dyDescent="0.25">
      <c r="B11" s="37" t="s">
        <v>155</v>
      </c>
      <c r="C11" s="37" t="s">
        <v>158</v>
      </c>
      <c r="D11" s="37" t="s">
        <v>152</v>
      </c>
      <c r="E11" s="37" t="s">
        <v>153</v>
      </c>
      <c r="F11" s="37" t="s">
        <v>154</v>
      </c>
      <c r="G11" s="13">
        <v>44298</v>
      </c>
      <c r="H11" s="13" t="str">
        <f>TEXT(visitas[[#This Row],[FECHA]],"mmmm")</f>
        <v>abril</v>
      </c>
      <c r="I11" s="37" t="s">
        <v>159</v>
      </c>
    </row>
    <row r="12" spans="2:9" s="37" customFormat="1" x14ac:dyDescent="0.25">
      <c r="B12" s="37" t="s">
        <v>155</v>
      </c>
      <c r="C12" s="37" t="s">
        <v>160</v>
      </c>
      <c r="D12" s="37" t="s">
        <v>152</v>
      </c>
      <c r="E12" s="37" t="s">
        <v>153</v>
      </c>
      <c r="F12" s="37" t="s">
        <v>154</v>
      </c>
      <c r="G12" s="13">
        <v>44298</v>
      </c>
      <c r="H12" s="13" t="str">
        <f>TEXT(visitas[[#This Row],[FECHA]],"mmmm")</f>
        <v>abril</v>
      </c>
      <c r="I12" s="37" t="s">
        <v>159</v>
      </c>
    </row>
    <row r="13" spans="2:9" s="37" customFormat="1" x14ac:dyDescent="0.25">
      <c r="B13" s="37" t="s">
        <v>161</v>
      </c>
      <c r="C13" s="37" t="s">
        <v>162</v>
      </c>
      <c r="D13" s="37" t="s">
        <v>152</v>
      </c>
      <c r="E13" s="37" t="s">
        <v>153</v>
      </c>
      <c r="F13" s="37" t="s">
        <v>154</v>
      </c>
      <c r="G13" s="13">
        <v>44298</v>
      </c>
      <c r="H13" s="13" t="str">
        <f>TEXT(visitas[[#This Row],[FECHA]],"mmmm")</f>
        <v>abril</v>
      </c>
      <c r="I13" s="37" t="s">
        <v>159</v>
      </c>
    </row>
    <row r="14" spans="2:9" s="37" customFormat="1" x14ac:dyDescent="0.25">
      <c r="B14" s="37" t="s">
        <v>161</v>
      </c>
      <c r="C14" s="37" t="s">
        <v>163</v>
      </c>
      <c r="D14" s="37" t="s">
        <v>152</v>
      </c>
      <c r="E14" s="37" t="s">
        <v>153</v>
      </c>
      <c r="F14" s="37" t="s">
        <v>154</v>
      </c>
      <c r="G14" s="13">
        <v>44298</v>
      </c>
      <c r="H14" s="13" t="str">
        <f>TEXT(visitas[[#This Row],[FECHA]],"mmmm")</f>
        <v>abril</v>
      </c>
      <c r="I14" s="37" t="s">
        <v>159</v>
      </c>
    </row>
    <row r="15" spans="2:9" s="37" customFormat="1" x14ac:dyDescent="0.25">
      <c r="B15" s="37" t="s">
        <v>155</v>
      </c>
      <c r="C15" s="37" t="s">
        <v>164</v>
      </c>
      <c r="D15" s="37" t="s">
        <v>152</v>
      </c>
      <c r="E15" s="37" t="s">
        <v>153</v>
      </c>
      <c r="F15" s="37" t="s">
        <v>154</v>
      </c>
      <c r="G15" s="13">
        <v>44299</v>
      </c>
      <c r="H15" s="13" t="str">
        <f>TEXT(visitas[[#This Row],[FECHA]],"mmmm")</f>
        <v>abril</v>
      </c>
    </row>
    <row r="16" spans="2:9" s="37" customFormat="1" x14ac:dyDescent="0.25">
      <c r="B16" s="37" t="s">
        <v>155</v>
      </c>
      <c r="C16" s="37" t="s">
        <v>165</v>
      </c>
      <c r="D16" s="37" t="s">
        <v>152</v>
      </c>
      <c r="E16" s="37" t="s">
        <v>153</v>
      </c>
      <c r="F16" s="37" t="s">
        <v>154</v>
      </c>
      <c r="G16" s="13">
        <v>44299</v>
      </c>
      <c r="H16" s="13" t="str">
        <f>TEXT(visitas[[#This Row],[FECHA]],"mmmm")</f>
        <v>abril</v>
      </c>
    </row>
    <row r="17" spans="2:9" s="37" customFormat="1" x14ac:dyDescent="0.25">
      <c r="B17" s="37" t="s">
        <v>155</v>
      </c>
      <c r="C17" s="37" t="s">
        <v>166</v>
      </c>
      <c r="D17" s="37" t="s">
        <v>152</v>
      </c>
      <c r="E17" s="37" t="s">
        <v>153</v>
      </c>
      <c r="F17" s="37" t="s">
        <v>154</v>
      </c>
      <c r="G17" s="13">
        <v>44299</v>
      </c>
      <c r="H17" s="13" t="str">
        <f>TEXT(visitas[[#This Row],[FECHA]],"mmmm")</f>
        <v>abril</v>
      </c>
      <c r="I17" s="37" t="s">
        <v>159</v>
      </c>
    </row>
    <row r="18" spans="2:9" s="37" customFormat="1" x14ac:dyDescent="0.25">
      <c r="B18" s="37" t="s">
        <v>68</v>
      </c>
      <c r="C18" s="37" t="s">
        <v>167</v>
      </c>
      <c r="D18" s="37" t="s">
        <v>168</v>
      </c>
      <c r="E18" s="37" t="s">
        <v>1125</v>
      </c>
      <c r="F18" s="37" t="s">
        <v>154</v>
      </c>
      <c r="G18" s="13">
        <v>44299</v>
      </c>
      <c r="H18" s="13" t="str">
        <f>TEXT(visitas[[#This Row],[FECHA]],"mmmm")</f>
        <v>abril</v>
      </c>
      <c r="I18" s="37" t="s">
        <v>169</v>
      </c>
    </row>
    <row r="19" spans="2:9" s="37" customFormat="1" x14ac:dyDescent="0.25">
      <c r="B19" s="37" t="s">
        <v>68</v>
      </c>
      <c r="C19" s="37" t="s">
        <v>170</v>
      </c>
      <c r="D19" s="37" t="s">
        <v>152</v>
      </c>
      <c r="F19" s="37" t="s">
        <v>154</v>
      </c>
      <c r="G19" s="13">
        <v>44299</v>
      </c>
      <c r="H19" s="13" t="str">
        <f>TEXT(visitas[[#This Row],[FECHA]],"mmmm")</f>
        <v>abril</v>
      </c>
      <c r="I19" s="37" t="s">
        <v>1662</v>
      </c>
    </row>
    <row r="20" spans="2:9" s="37" customFormat="1" ht="30" x14ac:dyDescent="0.25">
      <c r="B20" s="37" t="s">
        <v>41</v>
      </c>
      <c r="C20" s="37" t="s">
        <v>171</v>
      </c>
      <c r="D20" s="37" t="s">
        <v>168</v>
      </c>
      <c r="E20" s="37" t="s">
        <v>1125</v>
      </c>
      <c r="F20" s="37" t="s">
        <v>154</v>
      </c>
      <c r="G20" s="13">
        <v>44299</v>
      </c>
      <c r="H20" s="13" t="str">
        <f>TEXT(visitas[[#This Row],[FECHA]],"mmmm")</f>
        <v>abril</v>
      </c>
      <c r="I20" s="12" t="s">
        <v>1126</v>
      </c>
    </row>
    <row r="21" spans="2:9" s="37" customFormat="1" x14ac:dyDescent="0.25">
      <c r="B21" s="37" t="s">
        <v>41</v>
      </c>
      <c r="C21" s="37" t="s">
        <v>172</v>
      </c>
      <c r="D21" s="37" t="s">
        <v>152</v>
      </c>
      <c r="F21" s="37" t="s">
        <v>154</v>
      </c>
      <c r="G21" s="13">
        <v>44299</v>
      </c>
      <c r="H21" s="13" t="str">
        <f>TEXT(visitas[[#This Row],[FECHA]],"mmmm")</f>
        <v>abril</v>
      </c>
      <c r="I21" s="37" t="s">
        <v>1662</v>
      </c>
    </row>
    <row r="22" spans="2:9" s="37" customFormat="1" x14ac:dyDescent="0.25">
      <c r="B22" s="37" t="s">
        <v>50</v>
      </c>
      <c r="C22" s="37" t="s">
        <v>180</v>
      </c>
      <c r="D22" s="37" t="s">
        <v>168</v>
      </c>
      <c r="E22" s="37" t="s">
        <v>215</v>
      </c>
      <c r="F22" s="37" t="s">
        <v>154</v>
      </c>
      <c r="G22" s="13">
        <v>44299</v>
      </c>
      <c r="H22" s="13" t="str">
        <f>TEXT(visitas[[#This Row],[FECHA]],"mmmm")</f>
        <v>abril</v>
      </c>
    </row>
    <row r="23" spans="2:9" s="37" customFormat="1" x14ac:dyDescent="0.25">
      <c r="B23" s="37" t="s">
        <v>50</v>
      </c>
      <c r="C23" s="37" t="s">
        <v>181</v>
      </c>
      <c r="D23" s="37" t="s">
        <v>152</v>
      </c>
      <c r="E23" s="37" t="s">
        <v>174</v>
      </c>
      <c r="F23" s="37" t="s">
        <v>154</v>
      </c>
      <c r="G23" s="13">
        <v>44299</v>
      </c>
      <c r="H23" s="13" t="str">
        <f>TEXT(visitas[[#This Row],[FECHA]],"mmmm")</f>
        <v>abril</v>
      </c>
      <c r="I23" s="37" t="s">
        <v>169</v>
      </c>
    </row>
    <row r="24" spans="2:9" s="37" customFormat="1" x14ac:dyDescent="0.25">
      <c r="B24" s="37" t="s">
        <v>50</v>
      </c>
      <c r="C24" s="37" t="s">
        <v>182</v>
      </c>
      <c r="D24" s="37" t="s">
        <v>152</v>
      </c>
      <c r="E24" s="37" t="s">
        <v>174</v>
      </c>
      <c r="F24" s="37" t="s">
        <v>154</v>
      </c>
      <c r="G24" s="13">
        <v>44299</v>
      </c>
      <c r="H24" s="13" t="str">
        <f>TEXT(visitas[[#This Row],[FECHA]],"mmmm")</f>
        <v>abril</v>
      </c>
    </row>
    <row r="25" spans="2:9" s="37" customFormat="1" x14ac:dyDescent="0.25">
      <c r="B25" s="37" t="s">
        <v>50</v>
      </c>
      <c r="C25" s="37" t="s">
        <v>183</v>
      </c>
      <c r="D25" s="37" t="s">
        <v>152</v>
      </c>
      <c r="E25" s="37" t="s">
        <v>174</v>
      </c>
      <c r="F25" s="37" t="s">
        <v>154</v>
      </c>
      <c r="G25" s="13">
        <v>44299</v>
      </c>
      <c r="H25" s="13" t="str">
        <f>TEXT(visitas[[#This Row],[FECHA]],"mmmm")</f>
        <v>abril</v>
      </c>
    </row>
    <row r="26" spans="2:9" s="37" customFormat="1" x14ac:dyDescent="0.25">
      <c r="B26" s="37" t="s">
        <v>50</v>
      </c>
      <c r="C26" s="37" t="s">
        <v>184</v>
      </c>
      <c r="D26" s="37" t="s">
        <v>152</v>
      </c>
      <c r="E26" s="37" t="s">
        <v>174</v>
      </c>
      <c r="F26" s="37" t="s">
        <v>154</v>
      </c>
      <c r="G26" s="13">
        <v>44299</v>
      </c>
      <c r="H26" s="13" t="str">
        <f>TEXT(visitas[[#This Row],[FECHA]],"mmmm")</f>
        <v>abril</v>
      </c>
      <c r="I26" s="37" t="s">
        <v>169</v>
      </c>
    </row>
    <row r="27" spans="2:9" s="37" customFormat="1" x14ac:dyDescent="0.25">
      <c r="B27" s="37" t="s">
        <v>68</v>
      </c>
      <c r="C27" s="37" t="s">
        <v>173</v>
      </c>
      <c r="D27" s="37" t="s">
        <v>168</v>
      </c>
      <c r="E27" s="37" t="s">
        <v>174</v>
      </c>
      <c r="F27" s="37" t="s">
        <v>175</v>
      </c>
      <c r="G27" s="13">
        <v>44300</v>
      </c>
      <c r="H27" s="13" t="str">
        <f>TEXT(visitas[[#This Row],[FECHA]],"mmmm")</f>
        <v>abril</v>
      </c>
      <c r="I27" s="37" t="s">
        <v>169</v>
      </c>
    </row>
    <row r="28" spans="2:9" s="37" customFormat="1" x14ac:dyDescent="0.25">
      <c r="B28" s="37" t="s">
        <v>155</v>
      </c>
      <c r="C28" s="37" t="s">
        <v>176</v>
      </c>
      <c r="D28" s="37" t="s">
        <v>152</v>
      </c>
      <c r="E28" s="37" t="s">
        <v>153</v>
      </c>
      <c r="F28" s="37" t="s">
        <v>154</v>
      </c>
      <c r="G28" s="13">
        <v>44300</v>
      </c>
      <c r="H28" s="13" t="str">
        <f>TEXT(visitas[[#This Row],[FECHA]],"mmmm")</f>
        <v>abril</v>
      </c>
      <c r="I28" s="37" t="s">
        <v>1662</v>
      </c>
    </row>
    <row r="29" spans="2:9" s="37" customFormat="1" x14ac:dyDescent="0.25">
      <c r="B29" s="37" t="s">
        <v>155</v>
      </c>
      <c r="C29" s="37" t="s">
        <v>177</v>
      </c>
      <c r="D29" s="37" t="s">
        <v>152</v>
      </c>
      <c r="E29" s="37" t="s">
        <v>153</v>
      </c>
      <c r="F29" s="37" t="s">
        <v>154</v>
      </c>
      <c r="G29" s="13">
        <v>44300</v>
      </c>
      <c r="H29" s="13" t="str">
        <f>TEXT(visitas[[#This Row],[FECHA]],"mmmm")</f>
        <v>abril</v>
      </c>
      <c r="I29" s="37" t="s">
        <v>1662</v>
      </c>
    </row>
    <row r="30" spans="2:9" s="37" customFormat="1" x14ac:dyDescent="0.25">
      <c r="B30" s="37" t="s">
        <v>155</v>
      </c>
      <c r="C30" s="37" t="s">
        <v>178</v>
      </c>
      <c r="D30" s="37" t="s">
        <v>152</v>
      </c>
      <c r="E30" s="37" t="s">
        <v>153</v>
      </c>
      <c r="F30" s="37" t="s">
        <v>154</v>
      </c>
      <c r="G30" s="13">
        <v>44300</v>
      </c>
      <c r="H30" s="13" t="str">
        <f>TEXT(visitas[[#This Row],[FECHA]],"mmmm")</f>
        <v>abril</v>
      </c>
      <c r="I30" s="37" t="s">
        <v>1662</v>
      </c>
    </row>
    <row r="31" spans="2:9" s="37" customFormat="1" x14ac:dyDescent="0.25">
      <c r="B31" s="37" t="s">
        <v>155</v>
      </c>
      <c r="C31" s="37" t="s">
        <v>179</v>
      </c>
      <c r="D31" s="37" t="s">
        <v>152</v>
      </c>
      <c r="E31" s="37" t="s">
        <v>153</v>
      </c>
      <c r="F31" s="37" t="s">
        <v>154</v>
      </c>
      <c r="G31" s="13">
        <v>44300</v>
      </c>
      <c r="H31" s="13" t="str">
        <f>TEXT(visitas[[#This Row],[FECHA]],"mmmm")</f>
        <v>abril</v>
      </c>
      <c r="I31" s="37" t="s">
        <v>1662</v>
      </c>
    </row>
    <row r="32" spans="2:9" s="37" customFormat="1" x14ac:dyDescent="0.25">
      <c r="B32" s="37" t="s">
        <v>50</v>
      </c>
      <c r="C32" s="37" t="s">
        <v>185</v>
      </c>
      <c r="D32" s="37" t="s">
        <v>152</v>
      </c>
      <c r="E32" s="37" t="s">
        <v>174</v>
      </c>
      <c r="F32" s="37" t="s">
        <v>186</v>
      </c>
      <c r="G32" s="13">
        <v>44307</v>
      </c>
      <c r="H32" s="13" t="str">
        <f>TEXT(visitas[[#This Row],[FECHA]],"mmmm")</f>
        <v>abril</v>
      </c>
      <c r="I32" s="37" t="s">
        <v>1662</v>
      </c>
    </row>
    <row r="33" spans="2:9" s="37" customFormat="1" ht="30" x14ac:dyDescent="0.25">
      <c r="B33" s="37" t="s">
        <v>155</v>
      </c>
      <c r="C33" s="37" t="s">
        <v>187</v>
      </c>
      <c r="D33" s="37" t="s">
        <v>168</v>
      </c>
      <c r="E33" s="12" t="s">
        <v>214</v>
      </c>
      <c r="F33" s="37" t="s">
        <v>154</v>
      </c>
      <c r="G33" s="13">
        <v>44309</v>
      </c>
      <c r="H33" s="13" t="str">
        <f>TEXT(visitas[[#This Row],[FECHA]],"mmmm")</f>
        <v>abril</v>
      </c>
    </row>
    <row r="34" spans="2:9" s="37" customFormat="1" ht="30" x14ac:dyDescent="0.25">
      <c r="B34" s="37" t="s">
        <v>155</v>
      </c>
      <c r="C34" s="37" t="s">
        <v>188</v>
      </c>
      <c r="D34" s="37" t="s">
        <v>152</v>
      </c>
      <c r="E34" s="37" t="s">
        <v>927</v>
      </c>
      <c r="F34" s="37" t="s">
        <v>154</v>
      </c>
      <c r="G34" s="13">
        <v>44309</v>
      </c>
      <c r="H34" s="13" t="str">
        <f>TEXT(visitas[[#This Row],[FECHA]],"mmmm")</f>
        <v>abril</v>
      </c>
      <c r="I34" s="12" t="s">
        <v>1663</v>
      </c>
    </row>
    <row r="35" spans="2:9" s="37" customFormat="1" ht="30" x14ac:dyDescent="0.25">
      <c r="B35" s="37" t="s">
        <v>68</v>
      </c>
      <c r="C35" s="37" t="s">
        <v>167</v>
      </c>
      <c r="D35" s="37" t="s">
        <v>168</v>
      </c>
      <c r="E35" s="12" t="s">
        <v>915</v>
      </c>
      <c r="F35" s="37" t="s">
        <v>154</v>
      </c>
      <c r="G35" s="13">
        <v>44312</v>
      </c>
      <c r="H35" s="13" t="str">
        <f>TEXT(visitas[[#This Row],[FECHA]],"mmmm")</f>
        <v>abril</v>
      </c>
      <c r="I35" s="37" t="s">
        <v>935</v>
      </c>
    </row>
    <row r="36" spans="2:9" s="37" customFormat="1" ht="30" x14ac:dyDescent="0.25">
      <c r="B36" s="37" t="s">
        <v>68</v>
      </c>
      <c r="C36" s="12" t="s">
        <v>937</v>
      </c>
      <c r="D36" s="37" t="s">
        <v>152</v>
      </c>
      <c r="E36" s="12" t="s">
        <v>932</v>
      </c>
      <c r="F36" s="37" t="s">
        <v>154</v>
      </c>
      <c r="G36" s="13">
        <v>44313</v>
      </c>
      <c r="H36" s="13" t="str">
        <f>TEXT(visitas[[#This Row],[FECHA]],"mmmm")</f>
        <v>abril</v>
      </c>
      <c r="I36" s="12" t="s">
        <v>938</v>
      </c>
    </row>
    <row r="37" spans="2:9" s="37" customFormat="1" ht="30" x14ac:dyDescent="0.25">
      <c r="B37" s="37" t="s">
        <v>50</v>
      </c>
      <c r="C37" s="37" t="s">
        <v>965</v>
      </c>
      <c r="D37" s="37" t="s">
        <v>168</v>
      </c>
      <c r="E37" s="12" t="s">
        <v>966</v>
      </c>
      <c r="F37" s="37" t="s">
        <v>154</v>
      </c>
      <c r="G37" s="13">
        <v>44314</v>
      </c>
      <c r="H37" s="13" t="str">
        <f>TEXT(visitas[[#This Row],[FECHA]],"mmmm")</f>
        <v>abril</v>
      </c>
      <c r="I37" s="37" t="s">
        <v>1662</v>
      </c>
    </row>
    <row r="38" spans="2:9" s="37" customFormat="1" x14ac:dyDescent="0.25">
      <c r="B38" s="37" t="s">
        <v>41</v>
      </c>
      <c r="C38" s="37" t="s">
        <v>1074</v>
      </c>
      <c r="D38" s="37" t="s">
        <v>152</v>
      </c>
      <c r="E38" s="12" t="s">
        <v>927</v>
      </c>
      <c r="F38" s="37" t="s">
        <v>154</v>
      </c>
      <c r="G38" s="13">
        <v>44316</v>
      </c>
      <c r="H38" s="13" t="str">
        <f>TEXT(visitas[[#This Row],[FECHA]],"mmmm")</f>
        <v>abril</v>
      </c>
      <c r="I38" s="12" t="s">
        <v>1123</v>
      </c>
    </row>
    <row r="39" spans="2:9" s="37" customFormat="1" x14ac:dyDescent="0.25">
      <c r="B39" s="37" t="s">
        <v>50</v>
      </c>
      <c r="C39" s="37" t="s">
        <v>933</v>
      </c>
      <c r="D39" s="37" t="s">
        <v>168</v>
      </c>
      <c r="E39" s="12" t="s">
        <v>1121</v>
      </c>
      <c r="F39" s="37" t="s">
        <v>154</v>
      </c>
      <c r="G39" s="13">
        <v>44316</v>
      </c>
      <c r="H39" s="13" t="str">
        <f>TEXT(visitas[[#This Row],[FECHA]],"mmmm")</f>
        <v>abril</v>
      </c>
      <c r="I39" s="12" t="s">
        <v>169</v>
      </c>
    </row>
    <row r="40" spans="2:9" s="37" customFormat="1" ht="30" x14ac:dyDescent="0.25">
      <c r="B40" s="37" t="s">
        <v>68</v>
      </c>
      <c r="C40" s="12" t="s">
        <v>937</v>
      </c>
      <c r="D40" s="37" t="s">
        <v>168</v>
      </c>
      <c r="E40" s="12" t="s">
        <v>1122</v>
      </c>
      <c r="F40" s="37" t="s">
        <v>154</v>
      </c>
      <c r="G40" s="13">
        <v>44320</v>
      </c>
      <c r="H40" s="13" t="str">
        <f>TEXT(visitas[[#This Row],[FECHA]],"mmmm")</f>
        <v>mayo</v>
      </c>
      <c r="I40" s="12" t="s">
        <v>1124</v>
      </c>
    </row>
    <row r="41" spans="2:9" s="37" customFormat="1" x14ac:dyDescent="0.25">
      <c r="B41" s="37" t="s">
        <v>155</v>
      </c>
      <c r="C41" s="37" t="s">
        <v>912</v>
      </c>
      <c r="D41" s="37" t="s">
        <v>152</v>
      </c>
      <c r="E41" s="37" t="s">
        <v>174</v>
      </c>
      <c r="F41" s="37" t="s">
        <v>154</v>
      </c>
      <c r="G41" s="13">
        <v>44321</v>
      </c>
      <c r="H41" s="13" t="str">
        <f>TEXT(visitas[[#This Row],[FECHA]],"mmmm")</f>
        <v>mayo</v>
      </c>
      <c r="I41" s="12" t="s">
        <v>1245</v>
      </c>
    </row>
    <row r="42" spans="2:9" s="37" customFormat="1" x14ac:dyDescent="0.25">
      <c r="B42" s="37" t="s">
        <v>155</v>
      </c>
      <c r="C42" s="37" t="s">
        <v>166</v>
      </c>
      <c r="D42" s="37" t="s">
        <v>152</v>
      </c>
      <c r="E42" s="12" t="s">
        <v>927</v>
      </c>
      <c r="F42" s="37" t="s">
        <v>154</v>
      </c>
      <c r="G42" s="13">
        <v>44321</v>
      </c>
      <c r="H42" s="13" t="str">
        <f>TEXT(visitas[[#This Row],[FECHA]],"mmmm")</f>
        <v>mayo</v>
      </c>
      <c r="I42" s="37" t="s">
        <v>1662</v>
      </c>
    </row>
    <row r="43" spans="2:9" s="37" customFormat="1" x14ac:dyDescent="0.25">
      <c r="B43" s="37" t="s">
        <v>155</v>
      </c>
      <c r="C43" s="37" t="s">
        <v>1246</v>
      </c>
      <c r="D43" s="37" t="s">
        <v>152</v>
      </c>
      <c r="E43" s="12" t="s">
        <v>927</v>
      </c>
      <c r="F43" s="37" t="s">
        <v>1288</v>
      </c>
      <c r="G43" s="13">
        <v>44321</v>
      </c>
      <c r="H43" s="13" t="str">
        <f>TEXT(visitas[[#This Row],[FECHA]],"mmmm")</f>
        <v>mayo</v>
      </c>
      <c r="I43" s="37" t="s">
        <v>1247</v>
      </c>
    </row>
    <row r="44" spans="2:9" s="37" customFormat="1" ht="30" x14ac:dyDescent="0.25">
      <c r="B44" s="37" t="s">
        <v>1163</v>
      </c>
      <c r="C44" s="37" t="s">
        <v>180</v>
      </c>
      <c r="D44" s="37" t="s">
        <v>168</v>
      </c>
      <c r="E44" s="12" t="s">
        <v>214</v>
      </c>
      <c r="F44" s="37" t="s">
        <v>154</v>
      </c>
      <c r="G44" s="13">
        <v>44321</v>
      </c>
      <c r="H44" s="13" t="str">
        <f>TEXT(visitas[[#This Row],[FECHA]],"mmmm")</f>
        <v>mayo</v>
      </c>
    </row>
    <row r="45" spans="2:9" ht="30" x14ac:dyDescent="0.25">
      <c r="B45" s="37" t="s">
        <v>68</v>
      </c>
      <c r="C45" s="37" t="s">
        <v>32</v>
      </c>
      <c r="D45" s="37" t="s">
        <v>168</v>
      </c>
      <c r="E45" s="12" t="s">
        <v>966</v>
      </c>
      <c r="F45" s="37" t="s">
        <v>154</v>
      </c>
      <c r="G45" s="13">
        <v>44323</v>
      </c>
      <c r="H45" s="13" t="str">
        <f>TEXT(visitas[[#This Row],[FECHA]],"mmmm")</f>
        <v>mayo</v>
      </c>
      <c r="I45" s="37" t="s">
        <v>1667</v>
      </c>
    </row>
    <row r="46" spans="2:9" ht="30" x14ac:dyDescent="0.25">
      <c r="B46" s="37" t="s">
        <v>68</v>
      </c>
      <c r="C46" s="12" t="s">
        <v>937</v>
      </c>
      <c r="D46" s="37" t="s">
        <v>168</v>
      </c>
      <c r="E46" s="37" t="s">
        <v>1290</v>
      </c>
      <c r="F46" s="37" t="s">
        <v>154</v>
      </c>
      <c r="G46" s="175">
        <v>44323</v>
      </c>
      <c r="H46" s="175" t="str">
        <f>TEXT(visitas[[#This Row],[FECHA]],"mmmm")</f>
        <v>mayo</v>
      </c>
      <c r="I46" s="37"/>
    </row>
    <row r="47" spans="2:9" x14ac:dyDescent="0.25">
      <c r="B47" s="37" t="s">
        <v>1163</v>
      </c>
      <c r="C47" s="37" t="s">
        <v>180</v>
      </c>
      <c r="D47" s="37" t="s">
        <v>168</v>
      </c>
      <c r="E47" s="12" t="s">
        <v>1670</v>
      </c>
      <c r="F47" s="37" t="s">
        <v>154</v>
      </c>
      <c r="G47" s="175">
        <v>44323</v>
      </c>
      <c r="H47" s="13" t="str">
        <f>TEXT(visitas[[#This Row],[FECHA]],"mmmm")</f>
        <v>mayo</v>
      </c>
      <c r="I47" s="37"/>
    </row>
    <row r="48" spans="2:9" ht="30" x14ac:dyDescent="0.25">
      <c r="B48" s="37" t="s">
        <v>68</v>
      </c>
      <c r="C48" s="12" t="s">
        <v>937</v>
      </c>
      <c r="D48" s="37" t="s">
        <v>168</v>
      </c>
      <c r="E48" s="12" t="s">
        <v>214</v>
      </c>
      <c r="F48" s="37" t="s">
        <v>154</v>
      </c>
      <c r="G48" s="175">
        <v>44327</v>
      </c>
      <c r="H48" s="13" t="str">
        <f>TEXT(visitas[[#This Row],[FECHA]],"mmmm")</f>
        <v>mayo</v>
      </c>
      <c r="I48" s="37"/>
    </row>
    <row r="49" spans="2:9" ht="30" x14ac:dyDescent="0.25">
      <c r="B49" s="37" t="s">
        <v>68</v>
      </c>
      <c r="C49" s="37" t="s">
        <v>167</v>
      </c>
      <c r="D49" s="37" t="s">
        <v>168</v>
      </c>
      <c r="E49" s="12" t="s">
        <v>214</v>
      </c>
      <c r="F49" s="37" t="s">
        <v>154</v>
      </c>
      <c r="G49" s="175">
        <v>44328</v>
      </c>
      <c r="H49" s="13" t="str">
        <f>TEXT(visitas[[#This Row],[FECHA]],"mmmm")</f>
        <v>mayo</v>
      </c>
      <c r="I49" s="37" t="s">
        <v>1667</v>
      </c>
    </row>
    <row r="50" spans="2:9" ht="30" x14ac:dyDescent="0.25">
      <c r="B50" s="37" t="s">
        <v>41</v>
      </c>
      <c r="C50" s="37" t="s">
        <v>171</v>
      </c>
      <c r="D50" s="37" t="s">
        <v>168</v>
      </c>
      <c r="E50" s="12" t="s">
        <v>214</v>
      </c>
      <c r="F50" s="37" t="s">
        <v>154</v>
      </c>
      <c r="G50" s="175">
        <v>44328</v>
      </c>
      <c r="H50" s="13" t="str">
        <f>TEXT(visitas[[#This Row],[FECHA]],"mmmm")</f>
        <v>mayo</v>
      </c>
      <c r="I50" s="37" t="s">
        <v>1667</v>
      </c>
    </row>
    <row r="51" spans="2:9" ht="30" x14ac:dyDescent="0.25">
      <c r="B51" s="37" t="s">
        <v>155</v>
      </c>
      <c r="C51" s="37" t="s">
        <v>166</v>
      </c>
      <c r="D51" s="37" t="s">
        <v>168</v>
      </c>
      <c r="E51" s="12" t="s">
        <v>214</v>
      </c>
      <c r="F51" s="37" t="s">
        <v>154</v>
      </c>
      <c r="G51" s="175">
        <v>44330</v>
      </c>
      <c r="H51" s="13" t="str">
        <f>TEXT(visitas[[#This Row],[FECHA]],"mmmm")</f>
        <v>mayo</v>
      </c>
      <c r="I51" s="37" t="s">
        <v>1669</v>
      </c>
    </row>
    <row r="52" spans="2:9" x14ac:dyDescent="0.25">
      <c r="B52" s="37" t="s">
        <v>155</v>
      </c>
      <c r="C52" s="37" t="s">
        <v>912</v>
      </c>
      <c r="D52" s="37" t="s">
        <v>168</v>
      </c>
      <c r="E52" s="37" t="s">
        <v>174</v>
      </c>
      <c r="F52" s="37" t="s">
        <v>154</v>
      </c>
      <c r="G52" s="175">
        <v>44330</v>
      </c>
      <c r="H52" s="13" t="str">
        <f>TEXT(visitas[[#This Row],[FECHA]],"mmmm")</f>
        <v>mayo</v>
      </c>
      <c r="I52" s="37" t="s">
        <v>1667</v>
      </c>
    </row>
    <row r="53" spans="2:9" ht="30" x14ac:dyDescent="0.25">
      <c r="B53" s="37" t="s">
        <v>1163</v>
      </c>
      <c r="C53" s="37" t="s">
        <v>180</v>
      </c>
      <c r="D53" s="37" t="s">
        <v>168</v>
      </c>
      <c r="E53" s="12" t="s">
        <v>214</v>
      </c>
      <c r="F53" s="37" t="s">
        <v>154</v>
      </c>
      <c r="G53" s="175">
        <v>44334</v>
      </c>
      <c r="H53" s="13" t="str">
        <f>TEXT(visitas[[#This Row],[FECHA]],"mmmm")</f>
        <v>mayo</v>
      </c>
      <c r="I53" s="37"/>
    </row>
    <row r="54" spans="2:9" ht="30" x14ac:dyDescent="0.25">
      <c r="B54" s="37" t="s">
        <v>68</v>
      </c>
      <c r="C54" s="37" t="s">
        <v>1515</v>
      </c>
      <c r="D54" s="37" t="s">
        <v>152</v>
      </c>
      <c r="E54" s="12" t="s">
        <v>1661</v>
      </c>
      <c r="F54" s="37" t="s">
        <v>154</v>
      </c>
      <c r="G54" s="175">
        <v>44336</v>
      </c>
      <c r="H54" s="13" t="str">
        <f>TEXT(visitas[[#This Row],[FECHA]],"mmmm")</f>
        <v>mayo</v>
      </c>
      <c r="I54" s="37" t="s">
        <v>1662</v>
      </c>
    </row>
    <row r="55" spans="2:9" ht="30" x14ac:dyDescent="0.25">
      <c r="B55" s="37" t="s">
        <v>155</v>
      </c>
      <c r="C55" s="37" t="s">
        <v>176</v>
      </c>
      <c r="D55" s="37" t="s">
        <v>168</v>
      </c>
      <c r="E55" s="12" t="s">
        <v>214</v>
      </c>
      <c r="F55" s="37" t="s">
        <v>154</v>
      </c>
      <c r="G55" s="175">
        <v>44348</v>
      </c>
      <c r="H55" s="211" t="str">
        <f>TEXT(visitas[[#This Row],[FECHA]],"mmmm")</f>
        <v>junio</v>
      </c>
      <c r="I55" s="37"/>
    </row>
    <row r="56" spans="2:9" x14ac:dyDescent="0.25">
      <c r="B56" s="37" t="s">
        <v>68</v>
      </c>
      <c r="C56" s="37" t="s">
        <v>1847</v>
      </c>
      <c r="D56" s="37" t="s">
        <v>168</v>
      </c>
      <c r="E56" s="37" t="s">
        <v>174</v>
      </c>
      <c r="F56" s="37" t="s">
        <v>154</v>
      </c>
      <c r="G56" s="175">
        <v>44341</v>
      </c>
      <c r="H56" s="211" t="str">
        <f>TEXT(visitas[[#This Row],[FECHA]],"mmmm")</f>
        <v>mayo</v>
      </c>
      <c r="I56" s="37"/>
    </row>
    <row r="57" spans="2:9" ht="30" x14ac:dyDescent="0.25">
      <c r="B57" s="37" t="s">
        <v>68</v>
      </c>
      <c r="C57" s="37" t="s">
        <v>32</v>
      </c>
      <c r="D57" s="37" t="s">
        <v>168</v>
      </c>
      <c r="E57" s="12" t="s">
        <v>214</v>
      </c>
      <c r="F57" s="37" t="s">
        <v>154</v>
      </c>
      <c r="G57" s="175">
        <v>44354</v>
      </c>
      <c r="H57" s="211" t="str">
        <f>TEXT(visitas[[#This Row],[FECHA]],"mmmm")</f>
        <v>junio</v>
      </c>
      <c r="I57" s="37"/>
    </row>
    <row r="58" spans="2:9" ht="30" x14ac:dyDescent="0.25">
      <c r="B58" s="37" t="s">
        <v>68</v>
      </c>
      <c r="C58" s="37" t="s">
        <v>1515</v>
      </c>
      <c r="D58" s="37" t="s">
        <v>152</v>
      </c>
      <c r="E58" s="12" t="s">
        <v>1994</v>
      </c>
      <c r="F58" s="37" t="s">
        <v>154</v>
      </c>
      <c r="G58" s="175">
        <v>44355</v>
      </c>
      <c r="H58" s="211" t="str">
        <f>TEXT(visitas[[#This Row],[FECHA]],"mmmm")</f>
        <v>junio</v>
      </c>
      <c r="I58" s="37"/>
    </row>
    <row r="59" spans="2:9" x14ac:dyDescent="0.25">
      <c r="B59" s="37" t="s">
        <v>50</v>
      </c>
      <c r="C59" s="37" t="s">
        <v>2006</v>
      </c>
      <c r="D59" s="37" t="s">
        <v>168</v>
      </c>
      <c r="E59" s="37" t="s">
        <v>1670</v>
      </c>
      <c r="F59" s="37" t="s">
        <v>154</v>
      </c>
      <c r="G59" s="175">
        <v>44355</v>
      </c>
      <c r="H59" s="211" t="str">
        <f>TEXT(visitas[[#This Row],[FECHA]],"mmmm")</f>
        <v>junio</v>
      </c>
      <c r="I59" s="37"/>
    </row>
    <row r="60" spans="2:9" ht="30" x14ac:dyDescent="0.25">
      <c r="B60" s="37" t="s">
        <v>68</v>
      </c>
      <c r="C60" s="37" t="s">
        <v>933</v>
      </c>
      <c r="D60" s="37" t="s">
        <v>168</v>
      </c>
      <c r="E60" s="12" t="s">
        <v>214</v>
      </c>
      <c r="F60" s="37" t="s">
        <v>154</v>
      </c>
      <c r="G60" s="175">
        <v>44355</v>
      </c>
      <c r="H60" s="211" t="str">
        <f>TEXT(visitas[[#This Row],[FECHA]],"mmmm")</f>
        <v>junio</v>
      </c>
      <c r="I60" s="37" t="s">
        <v>1999</v>
      </c>
    </row>
    <row r="61" spans="2:9" ht="30" x14ac:dyDescent="0.25">
      <c r="B61" s="37" t="s">
        <v>68</v>
      </c>
      <c r="C61" s="37" t="s">
        <v>167</v>
      </c>
      <c r="D61" s="37" t="s">
        <v>168</v>
      </c>
      <c r="E61" s="12" t="s">
        <v>2005</v>
      </c>
      <c r="F61" s="37" t="s">
        <v>154</v>
      </c>
      <c r="G61" s="175">
        <v>44356</v>
      </c>
      <c r="H61" s="211" t="str">
        <f>TEXT(visitas[[#This Row],[FECHA]],"mmmm")</f>
        <v>junio</v>
      </c>
      <c r="I61" s="37"/>
    </row>
    <row r="62" spans="2:9" x14ac:dyDescent="0.25">
      <c r="B62" s="37" t="s">
        <v>50</v>
      </c>
      <c r="C62" s="37" t="s">
        <v>1267</v>
      </c>
      <c r="D62" s="37" t="s">
        <v>168</v>
      </c>
      <c r="E62" s="37" t="s">
        <v>1670</v>
      </c>
      <c r="F62" s="37" t="s">
        <v>154</v>
      </c>
      <c r="G62" s="175">
        <v>44356</v>
      </c>
      <c r="H62" s="211" t="str">
        <f>TEXT(visitas[[#This Row],[FECHA]],"mmmm")</f>
        <v>junio</v>
      </c>
      <c r="I62" s="37"/>
    </row>
    <row r="63" spans="2:9" ht="30" x14ac:dyDescent="0.25">
      <c r="B63" s="37" t="s">
        <v>41</v>
      </c>
      <c r="C63" s="37" t="s">
        <v>910</v>
      </c>
      <c r="D63" s="37" t="s">
        <v>168</v>
      </c>
      <c r="E63" s="12" t="s">
        <v>214</v>
      </c>
      <c r="F63" s="37" t="s">
        <v>154</v>
      </c>
      <c r="G63" s="175">
        <v>44356</v>
      </c>
      <c r="H63" s="211" t="str">
        <f>TEXT(visitas[[#This Row],[FECHA]],"mmmm")</f>
        <v>junio</v>
      </c>
      <c r="I63" s="37" t="s">
        <v>1999</v>
      </c>
    </row>
    <row r="64" spans="2:9" ht="30" x14ac:dyDescent="0.25">
      <c r="B64" s="37" t="s">
        <v>155</v>
      </c>
      <c r="C64" s="37" t="s">
        <v>176</v>
      </c>
      <c r="D64" s="37" t="s">
        <v>168</v>
      </c>
      <c r="E64" s="12" t="s">
        <v>214</v>
      </c>
      <c r="F64" s="37" t="s">
        <v>154</v>
      </c>
      <c r="G64" s="175">
        <v>44357</v>
      </c>
      <c r="H64" s="211" t="str">
        <f>TEXT(visitas[[#This Row],[FECHA]],"mmmm")</f>
        <v>junio</v>
      </c>
      <c r="I64" s="37" t="s">
        <v>1999</v>
      </c>
    </row>
    <row r="65" spans="2:9" ht="30" x14ac:dyDescent="0.25">
      <c r="B65" s="37" t="s">
        <v>50</v>
      </c>
      <c r="C65" s="37" t="s">
        <v>933</v>
      </c>
      <c r="D65" s="37" t="s">
        <v>168</v>
      </c>
      <c r="E65" s="12" t="s">
        <v>214</v>
      </c>
      <c r="F65" s="37" t="s">
        <v>154</v>
      </c>
      <c r="G65" s="175">
        <v>44354</v>
      </c>
      <c r="H65" s="211" t="str">
        <f>TEXT(visitas[[#This Row],[FECHA]],"mmmm")</f>
        <v>junio</v>
      </c>
      <c r="I65" s="37"/>
    </row>
    <row r="66" spans="2:9" ht="30" x14ac:dyDescent="0.25">
      <c r="B66" s="37" t="s">
        <v>68</v>
      </c>
      <c r="C66" s="37" t="s">
        <v>32</v>
      </c>
      <c r="D66" s="37" t="s">
        <v>168</v>
      </c>
      <c r="E66" s="12" t="s">
        <v>214</v>
      </c>
      <c r="F66" s="37" t="s">
        <v>154</v>
      </c>
      <c r="G66" s="175">
        <v>44362</v>
      </c>
      <c r="H66" s="211" t="str">
        <f>TEXT(visitas[[#This Row],[FECHA]],"mmmm")</f>
        <v>junio</v>
      </c>
      <c r="I66" s="37" t="s">
        <v>1999</v>
      </c>
    </row>
    <row r="67" spans="2:9" ht="30" x14ac:dyDescent="0.25">
      <c r="B67" s="37" t="s">
        <v>50</v>
      </c>
      <c r="C67" s="37" t="s">
        <v>181</v>
      </c>
      <c r="D67" s="37" t="s">
        <v>168</v>
      </c>
      <c r="E67" s="12" t="s">
        <v>214</v>
      </c>
      <c r="F67" s="37" t="s">
        <v>154</v>
      </c>
      <c r="G67" s="175">
        <v>44362</v>
      </c>
      <c r="H67" s="211" t="str">
        <f>TEXT(visitas[[#This Row],[FECHA]],"mmmm")</f>
        <v>junio</v>
      </c>
      <c r="I67" s="12" t="s">
        <v>2187</v>
      </c>
    </row>
    <row r="68" spans="2:9" x14ac:dyDescent="0.25">
      <c r="B68" s="37" t="s">
        <v>68</v>
      </c>
      <c r="C68" s="37" t="s">
        <v>2109</v>
      </c>
      <c r="D68" s="37" t="s">
        <v>168</v>
      </c>
      <c r="E68" s="37" t="s">
        <v>174</v>
      </c>
      <c r="F68" s="37" t="s">
        <v>154</v>
      </c>
      <c r="G68" s="175">
        <v>44363</v>
      </c>
      <c r="H68" s="211" t="str">
        <f>TEXT(visitas[[#This Row],[FECHA]],"mmmm")</f>
        <v>junio</v>
      </c>
      <c r="I68" s="37" t="s">
        <v>1999</v>
      </c>
    </row>
    <row r="69" spans="2:9" x14ac:dyDescent="0.25">
      <c r="B69" s="37" t="s">
        <v>50</v>
      </c>
      <c r="C69" s="37" t="s">
        <v>2109</v>
      </c>
      <c r="D69" s="37" t="s">
        <v>168</v>
      </c>
      <c r="E69" s="37" t="s">
        <v>174</v>
      </c>
      <c r="F69" s="37" t="s">
        <v>154</v>
      </c>
      <c r="G69" s="175">
        <v>44363</v>
      </c>
      <c r="H69" s="211" t="str">
        <f>TEXT(visitas[[#This Row],[FECHA]],"mmmm")</f>
        <v>junio</v>
      </c>
      <c r="I69" s="37" t="s">
        <v>1999</v>
      </c>
    </row>
    <row r="70" spans="2:9" ht="30" x14ac:dyDescent="0.25">
      <c r="B70" s="37" t="s">
        <v>41</v>
      </c>
      <c r="C70" s="37" t="s">
        <v>910</v>
      </c>
      <c r="D70" s="37" t="s">
        <v>168</v>
      </c>
      <c r="E70" s="12" t="s">
        <v>2188</v>
      </c>
      <c r="F70" s="37" t="s">
        <v>154</v>
      </c>
      <c r="G70" s="175">
        <v>44363</v>
      </c>
      <c r="H70" s="211" t="str">
        <f>TEXT(visitas[[#This Row],[FECHA]],"mmmm")</f>
        <v>junio</v>
      </c>
      <c r="I70" s="37" t="s">
        <v>1999</v>
      </c>
    </row>
    <row r="71" spans="2:9" x14ac:dyDescent="0.25">
      <c r="B71" s="37" t="s">
        <v>41</v>
      </c>
      <c r="C71" s="37" t="s">
        <v>2118</v>
      </c>
      <c r="D71" s="37" t="s">
        <v>168</v>
      </c>
      <c r="E71" s="37" t="s">
        <v>2252</v>
      </c>
      <c r="F71" s="37" t="s">
        <v>154</v>
      </c>
      <c r="G71" s="175">
        <v>44364</v>
      </c>
      <c r="H71" s="211" t="str">
        <f>TEXT(visitas[[#This Row],[FECHA]],"mmmm")</f>
        <v>junio</v>
      </c>
      <c r="I71" s="37" t="s">
        <v>2259</v>
      </c>
    </row>
    <row r="72" spans="2:9" x14ac:dyDescent="0.25">
      <c r="B72" s="37" t="s">
        <v>68</v>
      </c>
      <c r="C72" s="37" t="s">
        <v>167</v>
      </c>
      <c r="D72" s="37" t="s">
        <v>168</v>
      </c>
      <c r="E72" s="37" t="s">
        <v>2253</v>
      </c>
      <c r="F72" s="37" t="s">
        <v>154</v>
      </c>
      <c r="G72" s="175">
        <v>44364</v>
      </c>
      <c r="H72" s="211" t="str">
        <f>TEXT(visitas[[#This Row],[FECHA]],"mmmm")</f>
        <v>junio</v>
      </c>
      <c r="I72" s="37" t="s">
        <v>2285</v>
      </c>
    </row>
    <row r="73" spans="2:9" x14ac:dyDescent="0.25">
      <c r="B73" s="37" t="s">
        <v>68</v>
      </c>
      <c r="C73" s="37" t="s">
        <v>933</v>
      </c>
      <c r="D73" s="37" t="s">
        <v>168</v>
      </c>
      <c r="E73" s="37" t="s">
        <v>2252</v>
      </c>
      <c r="F73" s="37" t="s">
        <v>154</v>
      </c>
      <c r="G73" s="175">
        <v>44364</v>
      </c>
      <c r="H73" s="211" t="str">
        <f>TEXT(visitas[[#This Row],[FECHA]],"mmmm")</f>
        <v>junio</v>
      </c>
      <c r="I73" s="37" t="s">
        <v>2260</v>
      </c>
    </row>
    <row r="74" spans="2:9" ht="30" x14ac:dyDescent="0.25">
      <c r="B74" s="37" t="s">
        <v>68</v>
      </c>
      <c r="C74" s="12" t="s">
        <v>937</v>
      </c>
      <c r="D74" s="37" t="s">
        <v>168</v>
      </c>
      <c r="E74" s="37" t="s">
        <v>2373</v>
      </c>
      <c r="F74" s="37" t="s">
        <v>154</v>
      </c>
      <c r="G74" s="175">
        <v>44369</v>
      </c>
      <c r="H74" s="211" t="str">
        <f>TEXT(visitas[[#This Row],[FECHA]],"mmmm")</f>
        <v>junio</v>
      </c>
      <c r="I74" s="37" t="s">
        <v>1305</v>
      </c>
    </row>
    <row r="75" spans="2:9" ht="30" x14ac:dyDescent="0.25">
      <c r="B75" s="37" t="s">
        <v>50</v>
      </c>
      <c r="C75" s="37" t="s">
        <v>1267</v>
      </c>
      <c r="D75" s="37" t="s">
        <v>168</v>
      </c>
      <c r="E75" s="12" t="s">
        <v>2486</v>
      </c>
      <c r="F75" s="37" t="s">
        <v>154</v>
      </c>
      <c r="G75" s="175">
        <v>44370</v>
      </c>
      <c r="H75" s="211" t="str">
        <f>TEXT(visitas[[#This Row],[FECHA]],"mmmm")</f>
        <v>junio</v>
      </c>
      <c r="I75" s="37" t="s">
        <v>2259</v>
      </c>
    </row>
    <row r="76" spans="2:9" ht="30" x14ac:dyDescent="0.25">
      <c r="B76" s="37" t="s">
        <v>50</v>
      </c>
      <c r="C76" s="37" t="s">
        <v>933</v>
      </c>
      <c r="D76" s="37" t="s">
        <v>168</v>
      </c>
      <c r="E76" s="12" t="s">
        <v>2486</v>
      </c>
      <c r="F76" s="37" t="s">
        <v>154</v>
      </c>
      <c r="G76" s="175">
        <v>44375</v>
      </c>
      <c r="H76" s="211" t="str">
        <f>TEXT(visitas[[#This Row],[FECHA]],"mmmm")</f>
        <v>junio</v>
      </c>
      <c r="I76" s="37" t="s">
        <v>2497</v>
      </c>
    </row>
    <row r="77" spans="2:9" ht="30" x14ac:dyDescent="0.25">
      <c r="B77" s="37" t="s">
        <v>68</v>
      </c>
      <c r="C77" s="37" t="s">
        <v>933</v>
      </c>
      <c r="D77" s="37" t="s">
        <v>168</v>
      </c>
      <c r="E77" s="12" t="s">
        <v>2486</v>
      </c>
      <c r="F77" s="37" t="s">
        <v>154</v>
      </c>
      <c r="G77" s="175">
        <v>44375</v>
      </c>
      <c r="H77" s="211" t="str">
        <f>TEXT(visitas[[#This Row],[FECHA]],"mmmm")</f>
        <v>junio</v>
      </c>
      <c r="I77" s="37" t="s">
        <v>2497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5:L244"/>
  <sheetViews>
    <sheetView showGridLines="0" topLeftCell="A232" workbookViewId="0">
      <selection activeCell="G244" sqref="G244"/>
    </sheetView>
  </sheetViews>
  <sheetFormatPr baseColWidth="10" defaultRowHeight="15" x14ac:dyDescent="0.25"/>
  <cols>
    <col min="2" max="2" width="14.42578125" bestFit="1" customWidth="1"/>
    <col min="3" max="3" width="25.140625" bestFit="1" customWidth="1"/>
    <col min="4" max="4" width="44.140625" style="3" bestFit="1" customWidth="1"/>
    <col min="5" max="5" width="10.7109375" bestFit="1" customWidth="1"/>
    <col min="6" max="6" width="15.42578125" bestFit="1" customWidth="1"/>
    <col min="7" max="7" width="74.28515625" bestFit="1" customWidth="1"/>
    <col min="9" max="10" width="11.42578125" style="105"/>
  </cols>
  <sheetData>
    <row r="5" spans="2:12" s="54" customFormat="1" ht="30" x14ac:dyDescent="0.25">
      <c r="B5" s="80" t="s">
        <v>11</v>
      </c>
      <c r="C5" s="80" t="s">
        <v>145</v>
      </c>
      <c r="D5" s="83" t="s">
        <v>1276</v>
      </c>
      <c r="E5" s="82" t="s">
        <v>189</v>
      </c>
      <c r="F5" s="83" t="s">
        <v>190</v>
      </c>
      <c r="G5" s="81" t="s">
        <v>191</v>
      </c>
      <c r="I5" s="110"/>
    </row>
    <row r="6" spans="2:12" ht="30" x14ac:dyDescent="0.25">
      <c r="B6" s="1" t="s">
        <v>68</v>
      </c>
      <c r="C6" s="1" t="s">
        <v>32</v>
      </c>
      <c r="D6" s="14" t="s">
        <v>192</v>
      </c>
      <c r="E6" s="13">
        <v>44306</v>
      </c>
      <c r="F6" s="13" t="s">
        <v>193</v>
      </c>
      <c r="G6" s="12" t="s">
        <v>1291</v>
      </c>
      <c r="L6" s="37"/>
    </row>
    <row r="7" spans="2:12" ht="30" x14ac:dyDescent="0.25">
      <c r="B7" s="1" t="s">
        <v>41</v>
      </c>
      <c r="C7" s="1" t="s">
        <v>197</v>
      </c>
      <c r="D7" s="14" t="s">
        <v>995</v>
      </c>
      <c r="E7" s="13">
        <v>44306</v>
      </c>
      <c r="F7" s="13" t="s">
        <v>198</v>
      </c>
      <c r="G7" s="12" t="s">
        <v>1292</v>
      </c>
    </row>
    <row r="8" spans="2:12" ht="45" x14ac:dyDescent="0.25">
      <c r="B8" s="1" t="s">
        <v>41</v>
      </c>
      <c r="C8" s="1" t="s">
        <v>910</v>
      </c>
      <c r="D8" s="14" t="s">
        <v>195</v>
      </c>
      <c r="E8" s="13">
        <v>44306</v>
      </c>
      <c r="F8" s="37" t="s">
        <v>1349</v>
      </c>
      <c r="G8" s="12" t="s">
        <v>1293</v>
      </c>
    </row>
    <row r="9" spans="2:12" ht="30" x14ac:dyDescent="0.25">
      <c r="B9" s="1" t="s">
        <v>155</v>
      </c>
      <c r="C9" s="1" t="s">
        <v>194</v>
      </c>
      <c r="D9" s="14" t="s">
        <v>195</v>
      </c>
      <c r="E9" s="13">
        <v>44307</v>
      </c>
      <c r="F9" s="13" t="s">
        <v>196</v>
      </c>
      <c r="G9" s="12" t="s">
        <v>1294</v>
      </c>
    </row>
    <row r="10" spans="2:12" x14ac:dyDescent="0.25">
      <c r="B10" s="1" t="s">
        <v>68</v>
      </c>
      <c r="C10" s="1" t="s">
        <v>199</v>
      </c>
      <c r="D10" s="14" t="s">
        <v>995</v>
      </c>
      <c r="E10" s="13">
        <v>44307</v>
      </c>
      <c r="F10" s="13" t="s">
        <v>200</v>
      </c>
      <c r="G10" s="12" t="s">
        <v>1295</v>
      </c>
    </row>
    <row r="11" spans="2:12" ht="30" x14ac:dyDescent="0.25">
      <c r="B11" s="1" t="s">
        <v>68</v>
      </c>
      <c r="C11" s="1" t="s">
        <v>32</v>
      </c>
      <c r="D11" s="14" t="s">
        <v>1162</v>
      </c>
      <c r="E11" s="13">
        <v>44307</v>
      </c>
      <c r="F11" s="1" t="s">
        <v>201</v>
      </c>
      <c r="G11" s="12" t="s">
        <v>1296</v>
      </c>
    </row>
    <row r="12" spans="2:12" ht="45" x14ac:dyDescent="0.25">
      <c r="B12" s="1" t="s">
        <v>68</v>
      </c>
      <c r="C12" s="1" t="s">
        <v>202</v>
      </c>
      <c r="D12" s="14" t="s">
        <v>1161</v>
      </c>
      <c r="E12" s="13">
        <v>44307</v>
      </c>
      <c r="F12" s="1" t="s">
        <v>1350</v>
      </c>
      <c r="G12" s="12" t="s">
        <v>1297</v>
      </c>
    </row>
    <row r="13" spans="2:12" ht="30" x14ac:dyDescent="0.25">
      <c r="B13" s="1" t="s">
        <v>41</v>
      </c>
      <c r="C13" s="1" t="s">
        <v>910</v>
      </c>
      <c r="D13" s="14" t="s">
        <v>995</v>
      </c>
      <c r="E13" s="13">
        <v>44307</v>
      </c>
      <c r="F13" s="1" t="s">
        <v>1349</v>
      </c>
      <c r="G13" s="12" t="s">
        <v>1298</v>
      </c>
    </row>
    <row r="14" spans="2:12" ht="46.5" customHeight="1" x14ac:dyDescent="0.25">
      <c r="B14" s="1" t="s">
        <v>68</v>
      </c>
      <c r="C14" s="1" t="s">
        <v>911</v>
      </c>
      <c r="D14" s="14" t="s">
        <v>204</v>
      </c>
      <c r="E14" s="13">
        <v>44308</v>
      </c>
      <c r="F14" s="1" t="s">
        <v>205</v>
      </c>
      <c r="G14" s="37" t="s">
        <v>1299</v>
      </c>
    </row>
    <row r="15" spans="2:12" x14ac:dyDescent="0.25">
      <c r="B15" s="1" t="s">
        <v>68</v>
      </c>
      <c r="C15" s="1" t="s">
        <v>32</v>
      </c>
      <c r="D15" s="14" t="s">
        <v>995</v>
      </c>
      <c r="E15" s="13">
        <v>44308</v>
      </c>
      <c r="F15" s="1" t="s">
        <v>201</v>
      </c>
      <c r="G15" s="37" t="s">
        <v>1300</v>
      </c>
    </row>
    <row r="16" spans="2:12" ht="30" x14ac:dyDescent="0.25">
      <c r="B16" s="1" t="s">
        <v>68</v>
      </c>
      <c r="C16" s="1" t="s">
        <v>202</v>
      </c>
      <c r="D16" s="14" t="s">
        <v>204</v>
      </c>
      <c r="E16" s="13">
        <v>44308</v>
      </c>
      <c r="F16" s="1" t="s">
        <v>1350</v>
      </c>
      <c r="G16" s="37" t="s">
        <v>1301</v>
      </c>
    </row>
    <row r="17" spans="2:7" x14ac:dyDescent="0.25">
      <c r="B17" s="1" t="s">
        <v>68</v>
      </c>
      <c r="C17" s="1" t="s">
        <v>167</v>
      </c>
      <c r="D17" s="15" t="s">
        <v>206</v>
      </c>
      <c r="E17" s="13">
        <v>44308</v>
      </c>
      <c r="F17" s="1" t="s">
        <v>978</v>
      </c>
      <c r="G17" s="37" t="s">
        <v>1299</v>
      </c>
    </row>
    <row r="18" spans="2:7" ht="30" x14ac:dyDescent="0.25">
      <c r="B18" s="1" t="s">
        <v>155</v>
      </c>
      <c r="C18" s="1" t="s">
        <v>194</v>
      </c>
      <c r="D18" s="14" t="s">
        <v>195</v>
      </c>
      <c r="E18" s="13">
        <v>44308</v>
      </c>
      <c r="F18" s="1" t="s">
        <v>207</v>
      </c>
      <c r="G18" s="37" t="s">
        <v>1301</v>
      </c>
    </row>
    <row r="19" spans="2:7" ht="30" x14ac:dyDescent="0.25">
      <c r="B19" s="1" t="s">
        <v>155</v>
      </c>
      <c r="C19" s="1" t="s">
        <v>1139</v>
      </c>
      <c r="D19" s="14" t="s">
        <v>208</v>
      </c>
      <c r="E19" s="13">
        <v>44308</v>
      </c>
      <c r="F19" s="37" t="s">
        <v>1140</v>
      </c>
      <c r="G19" s="12" t="s">
        <v>1302</v>
      </c>
    </row>
    <row r="20" spans="2:7" x14ac:dyDescent="0.25">
      <c r="B20" s="1" t="s">
        <v>50</v>
      </c>
      <c r="C20" s="1" t="s">
        <v>60</v>
      </c>
      <c r="D20" s="15" t="s">
        <v>209</v>
      </c>
      <c r="E20" s="13">
        <v>44308</v>
      </c>
      <c r="F20" s="37" t="s">
        <v>1299</v>
      </c>
      <c r="G20" s="37" t="s">
        <v>1303</v>
      </c>
    </row>
    <row r="21" spans="2:7" ht="30" x14ac:dyDescent="0.25">
      <c r="B21" s="1" t="s">
        <v>50</v>
      </c>
      <c r="C21" s="1" t="s">
        <v>210</v>
      </c>
      <c r="D21" s="14" t="s">
        <v>211</v>
      </c>
      <c r="E21" s="13">
        <v>44308</v>
      </c>
      <c r="F21" s="1" t="s">
        <v>1351</v>
      </c>
      <c r="G21" s="12" t="s">
        <v>1304</v>
      </c>
    </row>
    <row r="22" spans="2:7" x14ac:dyDescent="0.25">
      <c r="B22" s="1" t="s">
        <v>50</v>
      </c>
      <c r="C22" s="1" t="s">
        <v>183</v>
      </c>
      <c r="D22" s="14" t="s">
        <v>995</v>
      </c>
      <c r="E22" s="13">
        <v>44308</v>
      </c>
      <c r="F22" s="37" t="s">
        <v>216</v>
      </c>
      <c r="G22" s="37" t="s">
        <v>1303</v>
      </c>
    </row>
    <row r="23" spans="2:7" x14ac:dyDescent="0.25">
      <c r="B23" s="1" t="s">
        <v>68</v>
      </c>
      <c r="C23" s="1" t="s">
        <v>173</v>
      </c>
      <c r="D23" s="14" t="s">
        <v>1160</v>
      </c>
      <c r="E23" s="13">
        <v>44308</v>
      </c>
      <c r="F23" s="37" t="s">
        <v>979</v>
      </c>
      <c r="G23" s="37" t="s">
        <v>1305</v>
      </c>
    </row>
    <row r="24" spans="2:7" x14ac:dyDescent="0.25">
      <c r="B24" s="1" t="s">
        <v>41</v>
      </c>
      <c r="C24" s="1" t="s">
        <v>940</v>
      </c>
      <c r="D24" s="14" t="s">
        <v>1128</v>
      </c>
      <c r="E24" s="13">
        <v>44308</v>
      </c>
      <c r="F24" s="1" t="s">
        <v>213</v>
      </c>
      <c r="G24" s="37" t="s">
        <v>1305</v>
      </c>
    </row>
    <row r="25" spans="2:7" ht="30" x14ac:dyDescent="0.25">
      <c r="B25" s="1" t="s">
        <v>41</v>
      </c>
      <c r="C25" s="1" t="s">
        <v>910</v>
      </c>
      <c r="D25" s="14" t="s">
        <v>995</v>
      </c>
      <c r="E25" s="13">
        <v>44309</v>
      </c>
      <c r="F25" s="1" t="s">
        <v>1349</v>
      </c>
      <c r="G25" s="12" t="s">
        <v>1302</v>
      </c>
    </row>
    <row r="26" spans="2:7" x14ac:dyDescent="0.25">
      <c r="B26" s="1" t="s">
        <v>41</v>
      </c>
      <c r="C26" s="1" t="s">
        <v>197</v>
      </c>
      <c r="D26" s="14" t="s">
        <v>995</v>
      </c>
      <c r="E26" s="13">
        <v>44309</v>
      </c>
      <c r="F26" s="1" t="s">
        <v>198</v>
      </c>
      <c r="G26" s="37" t="s">
        <v>1299</v>
      </c>
    </row>
    <row r="27" spans="2:7" ht="30" x14ac:dyDescent="0.25">
      <c r="B27" s="1" t="s">
        <v>41</v>
      </c>
      <c r="C27" s="1" t="s">
        <v>212</v>
      </c>
      <c r="D27" s="14" t="s">
        <v>995</v>
      </c>
      <c r="E27" s="13">
        <v>44309</v>
      </c>
      <c r="F27" s="1" t="s">
        <v>213</v>
      </c>
      <c r="G27" s="12" t="s">
        <v>1306</v>
      </c>
    </row>
    <row r="28" spans="2:7" ht="30" x14ac:dyDescent="0.25">
      <c r="B28" s="1" t="s">
        <v>155</v>
      </c>
      <c r="C28" s="1" t="s">
        <v>194</v>
      </c>
      <c r="D28" s="14" t="s">
        <v>909</v>
      </c>
      <c r="E28" s="13">
        <v>44312</v>
      </c>
      <c r="F28" s="1" t="s">
        <v>207</v>
      </c>
      <c r="G28" s="37" t="s">
        <v>1307</v>
      </c>
    </row>
    <row r="29" spans="2:7" ht="30" x14ac:dyDescent="0.25">
      <c r="B29" s="1" t="s">
        <v>50</v>
      </c>
      <c r="C29" s="1" t="s">
        <v>908</v>
      </c>
      <c r="D29" s="14" t="s">
        <v>995</v>
      </c>
      <c r="E29" s="13">
        <v>44312</v>
      </c>
      <c r="F29" s="1" t="s">
        <v>968</v>
      </c>
      <c r="G29" s="12" t="s">
        <v>1308</v>
      </c>
    </row>
    <row r="30" spans="2:7" x14ac:dyDescent="0.25">
      <c r="B30" s="1" t="s">
        <v>68</v>
      </c>
      <c r="C30" s="1" t="s">
        <v>911</v>
      </c>
      <c r="D30" s="14" t="s">
        <v>995</v>
      </c>
      <c r="E30" s="13">
        <v>44312</v>
      </c>
      <c r="F30" s="1" t="s">
        <v>205</v>
      </c>
      <c r="G30" s="12" t="s">
        <v>1309</v>
      </c>
    </row>
    <row r="31" spans="2:7" ht="30" x14ac:dyDescent="0.25">
      <c r="B31" s="1" t="s">
        <v>155</v>
      </c>
      <c r="C31" s="1" t="s">
        <v>912</v>
      </c>
      <c r="D31" s="14" t="s">
        <v>195</v>
      </c>
      <c r="E31" s="13">
        <v>44312</v>
      </c>
      <c r="F31" s="1" t="s">
        <v>913</v>
      </c>
      <c r="G31" s="37" t="s">
        <v>1310</v>
      </c>
    </row>
    <row r="32" spans="2:7" x14ac:dyDescent="0.25">
      <c r="B32" s="1" t="s">
        <v>41</v>
      </c>
      <c r="C32" s="1" t="s">
        <v>203</v>
      </c>
      <c r="D32" s="14" t="s">
        <v>995</v>
      </c>
      <c r="E32" s="13">
        <v>44312</v>
      </c>
      <c r="F32" s="1" t="s">
        <v>914</v>
      </c>
      <c r="G32" s="37" t="s">
        <v>1307</v>
      </c>
    </row>
    <row r="33" spans="2:7" x14ac:dyDescent="0.25">
      <c r="B33" s="1" t="s">
        <v>68</v>
      </c>
      <c r="C33" s="1" t="s">
        <v>32</v>
      </c>
      <c r="D33" s="14" t="s">
        <v>995</v>
      </c>
      <c r="E33" s="13">
        <v>44312</v>
      </c>
      <c r="F33" s="1" t="s">
        <v>201</v>
      </c>
      <c r="G33" s="37" t="s">
        <v>1311</v>
      </c>
    </row>
    <row r="34" spans="2:7" x14ac:dyDescent="0.25">
      <c r="B34" s="1" t="s">
        <v>41</v>
      </c>
      <c r="C34" s="1" t="s">
        <v>197</v>
      </c>
      <c r="D34" s="14" t="s">
        <v>995</v>
      </c>
      <c r="E34" s="13">
        <v>44312</v>
      </c>
      <c r="F34" s="1" t="s">
        <v>198</v>
      </c>
      <c r="G34" s="37" t="s">
        <v>1301</v>
      </c>
    </row>
    <row r="35" spans="2:7" ht="30" x14ac:dyDescent="0.25">
      <c r="B35" s="37" t="s">
        <v>155</v>
      </c>
      <c r="C35" s="37" t="s">
        <v>916</v>
      </c>
      <c r="D35" s="14" t="s">
        <v>1154</v>
      </c>
      <c r="E35" s="13">
        <v>44312</v>
      </c>
      <c r="F35" s="37" t="s">
        <v>917</v>
      </c>
      <c r="G35" s="37" t="s">
        <v>1299</v>
      </c>
    </row>
    <row r="36" spans="2:7" s="16" customFormat="1" ht="30" x14ac:dyDescent="0.25">
      <c r="B36" s="37" t="s">
        <v>50</v>
      </c>
      <c r="C36" s="37" t="s">
        <v>930</v>
      </c>
      <c r="D36" s="14" t="s">
        <v>995</v>
      </c>
      <c r="E36" s="13">
        <v>44313</v>
      </c>
      <c r="F36" s="37" t="s">
        <v>929</v>
      </c>
      <c r="G36" s="12" t="s">
        <v>1312</v>
      </c>
    </row>
    <row r="37" spans="2:7" x14ac:dyDescent="0.25">
      <c r="B37" s="37" t="s">
        <v>41</v>
      </c>
      <c r="C37" s="37" t="s">
        <v>910</v>
      </c>
      <c r="D37" s="14" t="s">
        <v>995</v>
      </c>
      <c r="E37" s="13">
        <v>44313</v>
      </c>
      <c r="F37" s="37" t="s">
        <v>931</v>
      </c>
      <c r="G37" s="12" t="s">
        <v>1313</v>
      </c>
    </row>
    <row r="38" spans="2:7" s="16" customFormat="1" ht="30" x14ac:dyDescent="0.25">
      <c r="B38" s="37" t="s">
        <v>41</v>
      </c>
      <c r="C38" s="37" t="s">
        <v>910</v>
      </c>
      <c r="D38" s="14" t="s">
        <v>995</v>
      </c>
      <c r="E38" s="13">
        <v>44313</v>
      </c>
      <c r="F38" s="37" t="s">
        <v>914</v>
      </c>
      <c r="G38" s="12" t="s">
        <v>1314</v>
      </c>
    </row>
    <row r="39" spans="2:7" x14ac:dyDescent="0.25">
      <c r="B39" s="37" t="s">
        <v>41</v>
      </c>
      <c r="C39" s="37" t="s">
        <v>197</v>
      </c>
      <c r="D39" s="14" t="s">
        <v>995</v>
      </c>
      <c r="E39" s="13">
        <v>44313</v>
      </c>
      <c r="F39" s="37" t="s">
        <v>198</v>
      </c>
      <c r="G39" s="37" t="s">
        <v>1315</v>
      </c>
    </row>
    <row r="40" spans="2:7" ht="30" x14ac:dyDescent="0.25">
      <c r="B40" s="37" t="s">
        <v>41</v>
      </c>
      <c r="C40" s="37" t="s">
        <v>212</v>
      </c>
      <c r="D40" s="14" t="s">
        <v>995</v>
      </c>
      <c r="E40" s="13">
        <v>44313</v>
      </c>
      <c r="F40" s="37" t="s">
        <v>213</v>
      </c>
      <c r="G40" s="12" t="s">
        <v>1316</v>
      </c>
    </row>
    <row r="41" spans="2:7" ht="47.25" customHeight="1" x14ac:dyDescent="0.25">
      <c r="B41" s="37" t="s">
        <v>50</v>
      </c>
      <c r="C41" s="37" t="s">
        <v>908</v>
      </c>
      <c r="D41" s="14" t="s">
        <v>995</v>
      </c>
      <c r="E41" s="13">
        <v>44313</v>
      </c>
      <c r="F41" s="37" t="s">
        <v>968</v>
      </c>
      <c r="G41" s="12" t="s">
        <v>1317</v>
      </c>
    </row>
    <row r="42" spans="2:7" ht="30" x14ac:dyDescent="0.25">
      <c r="B42" s="37" t="s">
        <v>50</v>
      </c>
      <c r="C42" s="37" t="s">
        <v>933</v>
      </c>
      <c r="D42" s="14" t="s">
        <v>936</v>
      </c>
      <c r="E42" s="13">
        <v>44313</v>
      </c>
      <c r="F42" s="37" t="s">
        <v>934</v>
      </c>
      <c r="G42" s="12" t="s">
        <v>1318</v>
      </c>
    </row>
    <row r="43" spans="2:7" x14ac:dyDescent="0.25">
      <c r="B43" s="37" t="s">
        <v>41</v>
      </c>
      <c r="C43" s="37" t="s">
        <v>939</v>
      </c>
      <c r="D43" s="14" t="s">
        <v>995</v>
      </c>
      <c r="E43" s="13">
        <v>44313</v>
      </c>
      <c r="F43" s="37" t="s">
        <v>941</v>
      </c>
      <c r="G43" s="37" t="s">
        <v>1301</v>
      </c>
    </row>
    <row r="44" spans="2:7" x14ac:dyDescent="0.25">
      <c r="B44" s="37" t="s">
        <v>41</v>
      </c>
      <c r="C44" s="37" t="s">
        <v>940</v>
      </c>
      <c r="D44" s="14" t="s">
        <v>995</v>
      </c>
      <c r="E44" s="13">
        <v>44313</v>
      </c>
      <c r="F44" s="37" t="s">
        <v>942</v>
      </c>
      <c r="G44" s="37" t="s">
        <v>1301</v>
      </c>
    </row>
    <row r="45" spans="2:7" x14ac:dyDescent="0.25">
      <c r="B45" s="37" t="s">
        <v>155</v>
      </c>
      <c r="C45" s="37" t="s">
        <v>194</v>
      </c>
      <c r="D45" s="14" t="s">
        <v>964</v>
      </c>
      <c r="E45" s="13">
        <v>44313</v>
      </c>
      <c r="F45" s="37" t="s">
        <v>207</v>
      </c>
      <c r="G45" s="37" t="s">
        <v>1319</v>
      </c>
    </row>
    <row r="46" spans="2:7" s="16" customFormat="1" ht="45" x14ac:dyDescent="0.25">
      <c r="B46" s="37" t="s">
        <v>41</v>
      </c>
      <c r="C46" s="37" t="s">
        <v>910</v>
      </c>
      <c r="D46" s="43" t="s">
        <v>995</v>
      </c>
      <c r="E46" s="13">
        <v>44314</v>
      </c>
      <c r="F46" s="37" t="s">
        <v>914</v>
      </c>
      <c r="G46" s="12" t="s">
        <v>1320</v>
      </c>
    </row>
    <row r="47" spans="2:7" ht="45" x14ac:dyDescent="0.25">
      <c r="B47" s="37" t="s">
        <v>41</v>
      </c>
      <c r="C47" s="37" t="s">
        <v>910</v>
      </c>
      <c r="D47" s="14" t="s">
        <v>1154</v>
      </c>
      <c r="E47" s="13">
        <v>44314</v>
      </c>
      <c r="F47" s="37" t="s">
        <v>967</v>
      </c>
      <c r="G47" s="12" t="s">
        <v>1321</v>
      </c>
    </row>
    <row r="48" spans="2:7" x14ac:dyDescent="0.25">
      <c r="B48" s="37" t="s">
        <v>41</v>
      </c>
      <c r="C48" s="37" t="s">
        <v>939</v>
      </c>
      <c r="D48" s="14" t="s">
        <v>995</v>
      </c>
      <c r="E48" s="13">
        <v>44314</v>
      </c>
      <c r="F48" s="37" t="s">
        <v>941</v>
      </c>
      <c r="G48" s="37" t="s">
        <v>1301</v>
      </c>
    </row>
    <row r="49" spans="2:7" x14ac:dyDescent="0.25">
      <c r="B49" s="37" t="s">
        <v>41</v>
      </c>
      <c r="C49" s="37" t="s">
        <v>969</v>
      </c>
      <c r="D49" s="14" t="s">
        <v>995</v>
      </c>
      <c r="E49" s="13">
        <v>44314</v>
      </c>
      <c r="F49" s="37" t="s">
        <v>970</v>
      </c>
      <c r="G49" s="12" t="s">
        <v>1322</v>
      </c>
    </row>
    <row r="50" spans="2:7" x14ac:dyDescent="0.25">
      <c r="B50" s="37" t="s">
        <v>68</v>
      </c>
      <c r="C50" s="37" t="s">
        <v>32</v>
      </c>
      <c r="D50" s="17" t="s">
        <v>972</v>
      </c>
      <c r="E50" s="13">
        <v>44314</v>
      </c>
      <c r="F50" s="37" t="s">
        <v>201</v>
      </c>
      <c r="G50" s="37" t="s">
        <v>1323</v>
      </c>
    </row>
    <row r="51" spans="2:7" ht="30" x14ac:dyDescent="0.25">
      <c r="B51" s="37" t="s">
        <v>68</v>
      </c>
      <c r="C51" s="37" t="s">
        <v>202</v>
      </c>
      <c r="D51" s="14" t="s">
        <v>971</v>
      </c>
      <c r="E51" s="13">
        <v>44314</v>
      </c>
      <c r="F51" s="37" t="s">
        <v>1350</v>
      </c>
      <c r="G51" s="37" t="s">
        <v>1315</v>
      </c>
    </row>
    <row r="52" spans="2:7" ht="30" x14ac:dyDescent="0.25">
      <c r="B52" s="37" t="s">
        <v>155</v>
      </c>
      <c r="C52" s="37" t="s">
        <v>176</v>
      </c>
      <c r="D52" s="14" t="s">
        <v>974</v>
      </c>
      <c r="E52" s="13">
        <v>44314</v>
      </c>
      <c r="F52" s="37" t="s">
        <v>973</v>
      </c>
      <c r="G52" s="12" t="s">
        <v>1324</v>
      </c>
    </row>
    <row r="53" spans="2:7" ht="30" x14ac:dyDescent="0.25">
      <c r="B53" s="37" t="s">
        <v>155</v>
      </c>
      <c r="C53" s="37" t="s">
        <v>194</v>
      </c>
      <c r="D53" s="43" t="s">
        <v>975</v>
      </c>
      <c r="E53" s="13">
        <v>44314</v>
      </c>
      <c r="F53" s="37" t="s">
        <v>207</v>
      </c>
      <c r="G53" s="37" t="s">
        <v>1305</v>
      </c>
    </row>
    <row r="54" spans="2:7" ht="30" x14ac:dyDescent="0.25">
      <c r="B54" s="37" t="s">
        <v>155</v>
      </c>
      <c r="C54" s="37" t="s">
        <v>916</v>
      </c>
      <c r="D54" s="14" t="s">
        <v>976</v>
      </c>
      <c r="E54" s="13">
        <v>44314</v>
      </c>
      <c r="F54" s="37" t="s">
        <v>917</v>
      </c>
      <c r="G54" s="37" t="s">
        <v>1301</v>
      </c>
    </row>
    <row r="55" spans="2:7" ht="30" x14ac:dyDescent="0.25">
      <c r="B55" s="37" t="s">
        <v>155</v>
      </c>
      <c r="C55" s="37" t="s">
        <v>912</v>
      </c>
      <c r="D55" s="14" t="s">
        <v>977</v>
      </c>
      <c r="E55" s="13">
        <v>44314</v>
      </c>
      <c r="F55" s="37" t="s">
        <v>913</v>
      </c>
      <c r="G55" s="12" t="s">
        <v>1325</v>
      </c>
    </row>
    <row r="56" spans="2:7" ht="30" x14ac:dyDescent="0.25">
      <c r="B56" s="37" t="s">
        <v>41</v>
      </c>
      <c r="C56" s="37" t="s">
        <v>197</v>
      </c>
      <c r="D56" s="14" t="s">
        <v>995</v>
      </c>
      <c r="E56" s="13">
        <v>44315</v>
      </c>
      <c r="F56" s="37" t="s">
        <v>198</v>
      </c>
      <c r="G56" s="12" t="s">
        <v>1326</v>
      </c>
    </row>
    <row r="57" spans="2:7" x14ac:dyDescent="0.25">
      <c r="B57" s="37" t="s">
        <v>41</v>
      </c>
      <c r="C57" s="37" t="s">
        <v>940</v>
      </c>
      <c r="D57" s="14" t="s">
        <v>995</v>
      </c>
      <c r="E57" s="13">
        <v>44315</v>
      </c>
      <c r="F57" s="37" t="s">
        <v>942</v>
      </c>
      <c r="G57" s="37" t="s">
        <v>1307</v>
      </c>
    </row>
    <row r="58" spans="2:7" x14ac:dyDescent="0.25">
      <c r="B58" s="37" t="s">
        <v>41</v>
      </c>
      <c r="C58" s="37" t="s">
        <v>910</v>
      </c>
      <c r="D58" s="14" t="s">
        <v>996</v>
      </c>
      <c r="E58" s="13">
        <v>44315</v>
      </c>
      <c r="F58" s="37" t="s">
        <v>914</v>
      </c>
      <c r="G58" s="37" t="s">
        <v>1305</v>
      </c>
    </row>
    <row r="59" spans="2:7" s="16" customFormat="1" ht="60" x14ac:dyDescent="0.25">
      <c r="B59" s="37" t="s">
        <v>155</v>
      </c>
      <c r="C59" s="37" t="s">
        <v>194</v>
      </c>
      <c r="D59" s="43" t="s">
        <v>997</v>
      </c>
      <c r="E59" s="13">
        <v>44315</v>
      </c>
      <c r="F59" s="37" t="s">
        <v>207</v>
      </c>
      <c r="G59" s="12" t="s">
        <v>1327</v>
      </c>
    </row>
    <row r="60" spans="2:7" x14ac:dyDescent="0.25">
      <c r="B60" s="37" t="s">
        <v>155</v>
      </c>
      <c r="C60" s="37" t="s">
        <v>176</v>
      </c>
      <c r="D60" s="14" t="s">
        <v>995</v>
      </c>
      <c r="E60" s="13">
        <v>44315</v>
      </c>
      <c r="F60" s="37" t="s">
        <v>973</v>
      </c>
      <c r="G60" s="37" t="s">
        <v>1328</v>
      </c>
    </row>
    <row r="61" spans="2:7" x14ac:dyDescent="0.25">
      <c r="B61" s="37" t="s">
        <v>155</v>
      </c>
      <c r="C61" s="37" t="s">
        <v>388</v>
      </c>
      <c r="D61" s="15" t="s">
        <v>998</v>
      </c>
      <c r="E61" s="13">
        <v>44315</v>
      </c>
      <c r="F61" s="37" t="s">
        <v>999</v>
      </c>
      <c r="G61" s="37" t="s">
        <v>1329</v>
      </c>
    </row>
    <row r="62" spans="2:7" ht="30" x14ac:dyDescent="0.25">
      <c r="B62" s="37" t="s">
        <v>155</v>
      </c>
      <c r="C62" s="37" t="s">
        <v>388</v>
      </c>
      <c r="D62" s="14" t="s">
        <v>1134</v>
      </c>
      <c r="E62" s="13">
        <v>44319</v>
      </c>
      <c r="F62" s="37" t="s">
        <v>999</v>
      </c>
      <c r="G62" s="37" t="s">
        <v>1301</v>
      </c>
    </row>
    <row r="63" spans="2:7" x14ac:dyDescent="0.25">
      <c r="B63" s="37" t="s">
        <v>68</v>
      </c>
      <c r="C63" s="37" t="s">
        <v>32</v>
      </c>
      <c r="D63" s="15" t="s">
        <v>1130</v>
      </c>
      <c r="E63" s="13">
        <v>44319</v>
      </c>
      <c r="F63" s="37" t="s">
        <v>201</v>
      </c>
      <c r="G63" s="37" t="s">
        <v>1301</v>
      </c>
    </row>
    <row r="64" spans="2:7" ht="30" x14ac:dyDescent="0.25">
      <c r="B64" s="37" t="s">
        <v>68</v>
      </c>
      <c r="C64" s="37" t="s">
        <v>202</v>
      </c>
      <c r="D64" s="14" t="s">
        <v>1131</v>
      </c>
      <c r="E64" s="13">
        <v>44319</v>
      </c>
      <c r="F64" s="37" t="s">
        <v>1350</v>
      </c>
      <c r="G64" s="37" t="s">
        <v>1330</v>
      </c>
    </row>
    <row r="65" spans="2:7" ht="30" x14ac:dyDescent="0.25">
      <c r="B65" s="37" t="s">
        <v>68</v>
      </c>
      <c r="C65" s="37" t="s">
        <v>1132</v>
      </c>
      <c r="D65" s="14" t="s">
        <v>1136</v>
      </c>
      <c r="E65" s="13">
        <v>44319</v>
      </c>
      <c r="F65" s="37" t="s">
        <v>1133</v>
      </c>
      <c r="G65" s="12" t="s">
        <v>1331</v>
      </c>
    </row>
    <row r="66" spans="2:7" x14ac:dyDescent="0.25">
      <c r="B66" s="37" t="s">
        <v>68</v>
      </c>
      <c r="C66" s="37" t="s">
        <v>1135</v>
      </c>
      <c r="D66" s="14" t="s">
        <v>1137</v>
      </c>
      <c r="E66" s="13">
        <v>44319</v>
      </c>
      <c r="F66" s="37" t="s">
        <v>1138</v>
      </c>
      <c r="G66" s="37" t="s">
        <v>1332</v>
      </c>
    </row>
    <row r="67" spans="2:7" ht="30" x14ac:dyDescent="0.25">
      <c r="B67" s="37" t="s">
        <v>68</v>
      </c>
      <c r="C67" s="37" t="s">
        <v>911</v>
      </c>
      <c r="D67" s="14" t="s">
        <v>1155</v>
      </c>
      <c r="E67" s="13">
        <v>44319</v>
      </c>
      <c r="F67" s="37" t="s">
        <v>205</v>
      </c>
      <c r="G67" s="37" t="s">
        <v>1333</v>
      </c>
    </row>
    <row r="68" spans="2:7" ht="30" x14ac:dyDescent="0.25">
      <c r="B68" s="37" t="s">
        <v>68</v>
      </c>
      <c r="C68" s="37" t="s">
        <v>32</v>
      </c>
      <c r="D68" s="14" t="s">
        <v>1156</v>
      </c>
      <c r="E68" s="13">
        <v>44319</v>
      </c>
      <c r="F68" s="37" t="s">
        <v>201</v>
      </c>
      <c r="G68" s="37" t="s">
        <v>1334</v>
      </c>
    </row>
    <row r="69" spans="2:7" ht="30" x14ac:dyDescent="0.25">
      <c r="B69" s="37" t="s">
        <v>68</v>
      </c>
      <c r="C69" s="37" t="s">
        <v>32</v>
      </c>
      <c r="D69" s="14" t="s">
        <v>1136</v>
      </c>
      <c r="E69" s="13">
        <v>44319</v>
      </c>
      <c r="F69" s="37" t="s">
        <v>193</v>
      </c>
      <c r="G69" s="37" t="s">
        <v>1301</v>
      </c>
    </row>
    <row r="70" spans="2:7" x14ac:dyDescent="0.25">
      <c r="B70" s="37" t="s">
        <v>68</v>
      </c>
      <c r="C70" s="37" t="s">
        <v>202</v>
      </c>
      <c r="D70" s="15" t="s">
        <v>1157</v>
      </c>
      <c r="E70" s="13">
        <v>44319</v>
      </c>
      <c r="F70" s="37" t="s">
        <v>1350</v>
      </c>
      <c r="G70" s="37" t="s">
        <v>1335</v>
      </c>
    </row>
    <row r="71" spans="2:7" ht="30" x14ac:dyDescent="0.25">
      <c r="B71" s="37" t="s">
        <v>68</v>
      </c>
      <c r="C71" s="37" t="s">
        <v>167</v>
      </c>
      <c r="D71" s="14" t="s">
        <v>1134</v>
      </c>
      <c r="E71" s="13">
        <v>44319</v>
      </c>
      <c r="F71" s="37" t="s">
        <v>978</v>
      </c>
      <c r="G71" s="37" t="s">
        <v>1301</v>
      </c>
    </row>
    <row r="72" spans="2:7" ht="30" x14ac:dyDescent="0.25">
      <c r="B72" s="37" t="s">
        <v>68</v>
      </c>
      <c r="C72" s="37" t="s">
        <v>173</v>
      </c>
      <c r="D72" s="14" t="s">
        <v>1134</v>
      </c>
      <c r="E72" s="13">
        <v>44319</v>
      </c>
      <c r="F72" s="37" t="s">
        <v>979</v>
      </c>
      <c r="G72" s="12" t="s">
        <v>1336</v>
      </c>
    </row>
    <row r="73" spans="2:7" x14ac:dyDescent="0.25">
      <c r="B73" s="37" t="s">
        <v>41</v>
      </c>
      <c r="C73" s="37" t="s">
        <v>910</v>
      </c>
      <c r="D73" s="15" t="s">
        <v>1130</v>
      </c>
      <c r="E73" s="13">
        <v>44319</v>
      </c>
      <c r="F73" s="37" t="s">
        <v>914</v>
      </c>
      <c r="G73" s="37" t="s">
        <v>1305</v>
      </c>
    </row>
    <row r="74" spans="2:7" x14ac:dyDescent="0.25">
      <c r="B74" s="37" t="s">
        <v>155</v>
      </c>
      <c r="C74" s="37" t="s">
        <v>1127</v>
      </c>
      <c r="D74" s="14" t="s">
        <v>1128</v>
      </c>
      <c r="E74" s="13">
        <v>44320</v>
      </c>
      <c r="F74" s="37" t="s">
        <v>1129</v>
      </c>
      <c r="G74" s="37" t="s">
        <v>1337</v>
      </c>
    </row>
    <row r="75" spans="2:7" ht="30" x14ac:dyDescent="0.25">
      <c r="B75" s="37" t="s">
        <v>155</v>
      </c>
      <c r="C75" s="37" t="s">
        <v>1139</v>
      </c>
      <c r="D75" s="14" t="s">
        <v>1277</v>
      </c>
      <c r="E75" s="13">
        <v>44320</v>
      </c>
      <c r="F75" s="37" t="s">
        <v>1140</v>
      </c>
      <c r="G75" s="37" t="s">
        <v>1330</v>
      </c>
    </row>
    <row r="76" spans="2:7" ht="30" x14ac:dyDescent="0.25">
      <c r="B76" s="37" t="s">
        <v>155</v>
      </c>
      <c r="C76" s="37" t="s">
        <v>916</v>
      </c>
      <c r="D76" s="14" t="s">
        <v>1136</v>
      </c>
      <c r="E76" s="13">
        <v>44320</v>
      </c>
      <c r="F76" s="37" t="s">
        <v>917</v>
      </c>
      <c r="G76" s="37" t="s">
        <v>1330</v>
      </c>
    </row>
    <row r="77" spans="2:7" ht="30" x14ac:dyDescent="0.25">
      <c r="B77" s="37" t="s">
        <v>155</v>
      </c>
      <c r="C77" s="37" t="s">
        <v>1127</v>
      </c>
      <c r="D77" s="14" t="s">
        <v>1141</v>
      </c>
      <c r="E77" s="13">
        <v>44320</v>
      </c>
      <c r="F77" s="37" t="s">
        <v>1129</v>
      </c>
      <c r="G77" s="37" t="s">
        <v>1299</v>
      </c>
    </row>
    <row r="78" spans="2:7" ht="30" x14ac:dyDescent="0.25">
      <c r="B78" s="37" t="s">
        <v>50</v>
      </c>
      <c r="C78" s="37" t="s">
        <v>933</v>
      </c>
      <c r="D78" s="14" t="s">
        <v>1160</v>
      </c>
      <c r="E78" s="13">
        <v>44320</v>
      </c>
      <c r="F78" s="37" t="s">
        <v>1159</v>
      </c>
      <c r="G78" s="12" t="s">
        <v>1338</v>
      </c>
    </row>
    <row r="79" spans="2:7" ht="30" x14ac:dyDescent="0.25">
      <c r="B79" s="37" t="s">
        <v>68</v>
      </c>
      <c r="C79" s="37" t="s">
        <v>202</v>
      </c>
      <c r="D79" s="14" t="s">
        <v>1158</v>
      </c>
      <c r="E79" s="13">
        <v>44321</v>
      </c>
      <c r="F79" s="37" t="s">
        <v>1350</v>
      </c>
      <c r="G79" s="37" t="s">
        <v>1305</v>
      </c>
    </row>
    <row r="80" spans="2:7" ht="30" x14ac:dyDescent="0.25">
      <c r="B80" s="37" t="s">
        <v>41</v>
      </c>
      <c r="C80" s="37" t="s">
        <v>910</v>
      </c>
      <c r="D80" s="14" t="s">
        <v>1134</v>
      </c>
      <c r="E80" s="13">
        <v>44321</v>
      </c>
      <c r="F80" s="37" t="s">
        <v>914</v>
      </c>
      <c r="G80" s="37" t="s">
        <v>1334</v>
      </c>
    </row>
    <row r="81" spans="2:7" ht="30" x14ac:dyDescent="0.25">
      <c r="B81" s="37" t="s">
        <v>41</v>
      </c>
      <c r="C81" s="37" t="s">
        <v>910</v>
      </c>
      <c r="D81" s="14" t="s">
        <v>1160</v>
      </c>
      <c r="E81" s="13">
        <v>44321</v>
      </c>
      <c r="F81" s="37" t="s">
        <v>931</v>
      </c>
      <c r="G81" s="12" t="s">
        <v>1339</v>
      </c>
    </row>
    <row r="82" spans="2:7" x14ac:dyDescent="0.25">
      <c r="B82" s="37" t="s">
        <v>41</v>
      </c>
      <c r="C82" s="37" t="s">
        <v>197</v>
      </c>
      <c r="D82" s="14" t="s">
        <v>1160</v>
      </c>
      <c r="E82" s="13">
        <v>44321</v>
      </c>
      <c r="F82" s="37" t="s">
        <v>198</v>
      </c>
      <c r="G82" s="37" t="s">
        <v>1301</v>
      </c>
    </row>
    <row r="83" spans="2:7" ht="30" x14ac:dyDescent="0.25">
      <c r="B83" s="37" t="s">
        <v>68</v>
      </c>
      <c r="C83" s="37" t="s">
        <v>202</v>
      </c>
      <c r="D83" s="14" t="s">
        <v>208</v>
      </c>
      <c r="E83" s="13">
        <v>44322</v>
      </c>
      <c r="F83" s="37" t="s">
        <v>1350</v>
      </c>
      <c r="G83" s="12" t="s">
        <v>1340</v>
      </c>
    </row>
    <row r="84" spans="2:7" ht="30" x14ac:dyDescent="0.25">
      <c r="B84" s="37" t="s">
        <v>68</v>
      </c>
      <c r="C84" s="37" t="s">
        <v>199</v>
      </c>
      <c r="D84" s="14" t="s">
        <v>1154</v>
      </c>
      <c r="E84" s="13">
        <v>44322</v>
      </c>
      <c r="F84" s="37" t="s">
        <v>200</v>
      </c>
      <c r="G84" s="12" t="s">
        <v>1341</v>
      </c>
    </row>
    <row r="85" spans="2:7" x14ac:dyDescent="0.25">
      <c r="B85" s="37" t="s">
        <v>50</v>
      </c>
      <c r="C85" s="37" t="s">
        <v>908</v>
      </c>
      <c r="D85" s="15" t="s">
        <v>1160</v>
      </c>
      <c r="E85" s="13">
        <v>44322</v>
      </c>
      <c r="F85" s="37" t="s">
        <v>968</v>
      </c>
      <c r="G85" s="37" t="s">
        <v>1342</v>
      </c>
    </row>
    <row r="86" spans="2:7" x14ac:dyDescent="0.25">
      <c r="B86" s="37" t="s">
        <v>50</v>
      </c>
      <c r="C86" s="37" t="s">
        <v>1267</v>
      </c>
      <c r="D86" s="15" t="s">
        <v>1268</v>
      </c>
      <c r="E86" s="13">
        <v>44322</v>
      </c>
      <c r="F86" s="37" t="s">
        <v>1269</v>
      </c>
      <c r="G86" s="37" t="s">
        <v>1343</v>
      </c>
    </row>
    <row r="87" spans="2:7" x14ac:dyDescent="0.25">
      <c r="B87" s="37" t="s">
        <v>50</v>
      </c>
      <c r="C87" s="37" t="s">
        <v>1267</v>
      </c>
      <c r="D87" s="15" t="s">
        <v>1271</v>
      </c>
      <c r="E87" s="13">
        <v>44322</v>
      </c>
      <c r="F87" s="37" t="s">
        <v>1270</v>
      </c>
      <c r="G87" s="12" t="s">
        <v>1344</v>
      </c>
    </row>
    <row r="88" spans="2:7" ht="30" x14ac:dyDescent="0.25">
      <c r="B88" s="37" t="s">
        <v>50</v>
      </c>
      <c r="C88" s="37" t="s">
        <v>933</v>
      </c>
      <c r="D88" s="14" t="s">
        <v>1134</v>
      </c>
      <c r="E88" s="13">
        <v>44322</v>
      </c>
      <c r="F88" s="37" t="s">
        <v>934</v>
      </c>
      <c r="G88" s="37" t="s">
        <v>1345</v>
      </c>
    </row>
    <row r="89" spans="2:7" x14ac:dyDescent="0.25">
      <c r="B89" s="37" t="s">
        <v>50</v>
      </c>
      <c r="C89" s="37" t="s">
        <v>183</v>
      </c>
      <c r="D89" s="14" t="s">
        <v>1160</v>
      </c>
      <c r="E89" s="13">
        <v>44322</v>
      </c>
      <c r="F89" s="37" t="s">
        <v>216</v>
      </c>
      <c r="G89" s="37" t="s">
        <v>1345</v>
      </c>
    </row>
    <row r="90" spans="2:7" ht="30" x14ac:dyDescent="0.25">
      <c r="B90" s="37" t="s">
        <v>41</v>
      </c>
      <c r="C90" s="37" t="s">
        <v>212</v>
      </c>
      <c r="D90" s="14" t="s">
        <v>1272</v>
      </c>
      <c r="E90" s="13">
        <v>44322</v>
      </c>
      <c r="F90" s="37" t="s">
        <v>213</v>
      </c>
      <c r="G90" s="37" t="s">
        <v>1305</v>
      </c>
    </row>
    <row r="91" spans="2:7" ht="30" x14ac:dyDescent="0.25">
      <c r="B91" s="37" t="s">
        <v>41</v>
      </c>
      <c r="C91" s="37" t="s">
        <v>940</v>
      </c>
      <c r="D91" s="14" t="s">
        <v>208</v>
      </c>
      <c r="E91" s="13">
        <v>44322</v>
      </c>
      <c r="F91" s="37" t="s">
        <v>213</v>
      </c>
      <c r="G91" s="37" t="s">
        <v>1305</v>
      </c>
    </row>
    <row r="92" spans="2:7" ht="30" x14ac:dyDescent="0.25">
      <c r="B92" s="37" t="s">
        <v>41</v>
      </c>
      <c r="C92" s="37" t="s">
        <v>197</v>
      </c>
      <c r="D92" s="14" t="s">
        <v>1275</v>
      </c>
      <c r="E92" s="13">
        <v>44322</v>
      </c>
      <c r="F92" s="37" t="s">
        <v>198</v>
      </c>
      <c r="G92" s="37" t="s">
        <v>1345</v>
      </c>
    </row>
    <row r="93" spans="2:7" s="16" customFormat="1" ht="30" x14ac:dyDescent="0.25">
      <c r="B93" s="37" t="s">
        <v>155</v>
      </c>
      <c r="C93" s="37" t="s">
        <v>194</v>
      </c>
      <c r="D93" s="17" t="s">
        <v>1160</v>
      </c>
      <c r="E93" s="13">
        <v>44322</v>
      </c>
      <c r="F93" s="37" t="s">
        <v>207</v>
      </c>
      <c r="G93" s="12" t="s">
        <v>1346</v>
      </c>
    </row>
    <row r="94" spans="2:7" x14ac:dyDescent="0.25">
      <c r="B94" s="37" t="s">
        <v>155</v>
      </c>
      <c r="C94" s="37" t="s">
        <v>187</v>
      </c>
      <c r="D94" s="14" t="s">
        <v>1273</v>
      </c>
      <c r="E94" s="13">
        <v>44322</v>
      </c>
      <c r="F94" s="37" t="s">
        <v>1274</v>
      </c>
      <c r="G94" s="37" t="s">
        <v>1305</v>
      </c>
    </row>
    <row r="95" spans="2:7" x14ac:dyDescent="0.25">
      <c r="B95" s="37" t="s">
        <v>155</v>
      </c>
      <c r="C95" s="37" t="s">
        <v>1139</v>
      </c>
      <c r="D95" s="15" t="s">
        <v>1160</v>
      </c>
      <c r="E95" s="13">
        <v>44322</v>
      </c>
      <c r="F95" s="37" t="s">
        <v>1140</v>
      </c>
      <c r="G95" s="37" t="s">
        <v>1347</v>
      </c>
    </row>
    <row r="96" spans="2:7" ht="30" x14ac:dyDescent="0.25">
      <c r="B96" s="37" t="s">
        <v>68</v>
      </c>
      <c r="C96" s="37" t="s">
        <v>32</v>
      </c>
      <c r="D96" s="14" t="s">
        <v>1289</v>
      </c>
      <c r="E96" s="13">
        <v>44323</v>
      </c>
      <c r="F96" s="37" t="s">
        <v>201</v>
      </c>
      <c r="G96" s="37" t="s">
        <v>1305</v>
      </c>
    </row>
    <row r="97" spans="2:7" ht="30" x14ac:dyDescent="0.25">
      <c r="B97" s="37" t="s">
        <v>68</v>
      </c>
      <c r="C97" s="37" t="s">
        <v>167</v>
      </c>
      <c r="D97" s="14" t="s">
        <v>1275</v>
      </c>
      <c r="E97" s="13">
        <v>44323</v>
      </c>
      <c r="F97" s="37" t="s">
        <v>978</v>
      </c>
      <c r="G97" s="37" t="s">
        <v>1299</v>
      </c>
    </row>
    <row r="98" spans="2:7" x14ac:dyDescent="0.25">
      <c r="B98" s="37" t="s">
        <v>41</v>
      </c>
      <c r="C98" s="37" t="s">
        <v>939</v>
      </c>
      <c r="D98" s="15" t="s">
        <v>1160</v>
      </c>
      <c r="E98" s="13">
        <v>44323</v>
      </c>
      <c r="F98" s="37" t="s">
        <v>941</v>
      </c>
      <c r="G98" s="37" t="s">
        <v>1348</v>
      </c>
    </row>
    <row r="99" spans="2:7" s="16" customFormat="1" ht="30" x14ac:dyDescent="0.25">
      <c r="B99" s="37" t="s">
        <v>155</v>
      </c>
      <c r="C99" s="37" t="s">
        <v>176</v>
      </c>
      <c r="D99" s="43" t="s">
        <v>1352</v>
      </c>
      <c r="E99" s="13">
        <v>44323</v>
      </c>
      <c r="F99" s="37" t="s">
        <v>973</v>
      </c>
      <c r="G99" s="37"/>
    </row>
    <row r="100" spans="2:7" x14ac:dyDescent="0.25">
      <c r="B100" s="37" t="s">
        <v>68</v>
      </c>
      <c r="C100" s="37" t="s">
        <v>199</v>
      </c>
      <c r="D100" s="15" t="s">
        <v>1273</v>
      </c>
      <c r="E100" s="13">
        <v>44333</v>
      </c>
      <c r="F100" s="37" t="s">
        <v>200</v>
      </c>
      <c r="G100" s="37" t="s">
        <v>1506</v>
      </c>
    </row>
    <row r="101" spans="2:7" ht="30" x14ac:dyDescent="0.25">
      <c r="B101" s="37" t="s">
        <v>68</v>
      </c>
      <c r="C101" s="37" t="s">
        <v>202</v>
      </c>
      <c r="D101" s="14" t="s">
        <v>1275</v>
      </c>
      <c r="E101" s="13">
        <v>44333</v>
      </c>
      <c r="F101" s="37" t="s">
        <v>1350</v>
      </c>
      <c r="G101" s="37" t="s">
        <v>1502</v>
      </c>
    </row>
    <row r="102" spans="2:7" x14ac:dyDescent="0.25">
      <c r="B102" s="37" t="s">
        <v>68</v>
      </c>
      <c r="C102" s="37" t="s">
        <v>202</v>
      </c>
      <c r="D102" s="14" t="s">
        <v>1503</v>
      </c>
      <c r="E102" s="13">
        <v>44334</v>
      </c>
      <c r="F102" s="37" t="s">
        <v>1350</v>
      </c>
      <c r="G102" s="37" t="s">
        <v>1504</v>
      </c>
    </row>
    <row r="103" spans="2:7" ht="30" x14ac:dyDescent="0.25">
      <c r="B103" s="37" t="s">
        <v>68</v>
      </c>
      <c r="C103" s="37" t="s">
        <v>32</v>
      </c>
      <c r="D103" s="43" t="s">
        <v>1352</v>
      </c>
      <c r="E103" s="13">
        <v>44334</v>
      </c>
      <c r="F103" s="37" t="s">
        <v>201</v>
      </c>
      <c r="G103" s="37" t="s">
        <v>1305</v>
      </c>
    </row>
    <row r="104" spans="2:7" x14ac:dyDescent="0.25">
      <c r="B104" s="37" t="s">
        <v>50</v>
      </c>
      <c r="C104" s="37" t="s">
        <v>183</v>
      </c>
      <c r="D104" s="15" t="s">
        <v>1160</v>
      </c>
      <c r="E104" s="13">
        <v>44334</v>
      </c>
      <c r="F104" s="37" t="s">
        <v>216</v>
      </c>
      <c r="G104" s="37" t="s">
        <v>1507</v>
      </c>
    </row>
    <row r="105" spans="2:7" x14ac:dyDescent="0.25">
      <c r="B105" s="37" t="s">
        <v>155</v>
      </c>
      <c r="C105" s="37" t="s">
        <v>1139</v>
      </c>
      <c r="D105" s="14" t="s">
        <v>1503</v>
      </c>
      <c r="E105" s="13">
        <v>44334</v>
      </c>
      <c r="F105" s="37" t="s">
        <v>1140</v>
      </c>
      <c r="G105" s="37"/>
    </row>
    <row r="106" spans="2:7" x14ac:dyDescent="0.25">
      <c r="B106" s="37" t="s">
        <v>68</v>
      </c>
      <c r="C106" s="37" t="s">
        <v>1515</v>
      </c>
      <c r="D106" s="15" t="s">
        <v>1516</v>
      </c>
      <c r="E106" s="13">
        <v>44334</v>
      </c>
      <c r="F106" s="37" t="s">
        <v>1517</v>
      </c>
      <c r="G106" s="37" t="s">
        <v>1518</v>
      </c>
    </row>
    <row r="107" spans="2:7" x14ac:dyDescent="0.25">
      <c r="B107" s="37" t="s">
        <v>155</v>
      </c>
      <c r="C107" s="37" t="s">
        <v>912</v>
      </c>
      <c r="D107" s="14" t="s">
        <v>1705</v>
      </c>
      <c r="E107" s="175">
        <v>44342</v>
      </c>
      <c r="F107" s="37" t="s">
        <v>1704</v>
      </c>
      <c r="G107" s="37" t="s">
        <v>1506</v>
      </c>
    </row>
    <row r="108" spans="2:7" x14ac:dyDescent="0.25">
      <c r="B108" s="37" t="s">
        <v>50</v>
      </c>
      <c r="C108" s="37" t="s">
        <v>1267</v>
      </c>
      <c r="D108" s="15" t="s">
        <v>1160</v>
      </c>
      <c r="E108" s="175">
        <v>44347</v>
      </c>
      <c r="F108" s="37" t="s">
        <v>1133</v>
      </c>
      <c r="G108" s="37"/>
    </row>
    <row r="109" spans="2:7" ht="30" x14ac:dyDescent="0.25">
      <c r="B109" s="37" t="s">
        <v>155</v>
      </c>
      <c r="C109" s="37" t="s">
        <v>176</v>
      </c>
      <c r="D109" s="14" t="s">
        <v>1352</v>
      </c>
      <c r="E109" s="175">
        <v>44347</v>
      </c>
      <c r="F109" s="37" t="s">
        <v>973</v>
      </c>
      <c r="G109" s="37"/>
    </row>
    <row r="110" spans="2:7" x14ac:dyDescent="0.25">
      <c r="B110" s="37" t="s">
        <v>155</v>
      </c>
      <c r="C110" s="37" t="s">
        <v>1829</v>
      </c>
      <c r="D110" s="15" t="s">
        <v>1503</v>
      </c>
      <c r="E110" s="175">
        <v>44347</v>
      </c>
      <c r="F110" s="37" t="s">
        <v>1830</v>
      </c>
      <c r="G110" s="37"/>
    </row>
    <row r="111" spans="2:7" ht="30" x14ac:dyDescent="0.25">
      <c r="B111" s="37" t="s">
        <v>155</v>
      </c>
      <c r="C111" s="37" t="s">
        <v>194</v>
      </c>
      <c r="D111" s="14" t="s">
        <v>1845</v>
      </c>
      <c r="E111" s="175">
        <v>44347</v>
      </c>
      <c r="F111" s="37" t="s">
        <v>207</v>
      </c>
      <c r="G111" s="37"/>
    </row>
    <row r="112" spans="2:7" x14ac:dyDescent="0.25">
      <c r="B112" s="37" t="s">
        <v>155</v>
      </c>
      <c r="C112" s="37" t="s">
        <v>1832</v>
      </c>
      <c r="D112" s="43" t="s">
        <v>1846</v>
      </c>
      <c r="E112" s="175">
        <v>44347</v>
      </c>
      <c r="F112" s="37" t="s">
        <v>1831</v>
      </c>
      <c r="G112" s="37"/>
    </row>
    <row r="113" spans="2:7" x14ac:dyDescent="0.25">
      <c r="B113" s="37" t="s">
        <v>155</v>
      </c>
      <c r="C113" s="37" t="s">
        <v>1829</v>
      </c>
      <c r="D113" s="43" t="s">
        <v>1846</v>
      </c>
      <c r="E113" s="175">
        <v>44354</v>
      </c>
      <c r="F113" s="37" t="s">
        <v>1830</v>
      </c>
      <c r="G113" s="37" t="s">
        <v>1924</v>
      </c>
    </row>
    <row r="114" spans="2:7" ht="30" x14ac:dyDescent="0.25">
      <c r="B114" s="37" t="s">
        <v>155</v>
      </c>
      <c r="C114" s="37" t="s">
        <v>166</v>
      </c>
      <c r="D114" s="14" t="s">
        <v>1845</v>
      </c>
      <c r="E114" s="175">
        <v>44361</v>
      </c>
      <c r="F114" s="37" t="s">
        <v>2100</v>
      </c>
      <c r="G114" s="37" t="s">
        <v>2127</v>
      </c>
    </row>
    <row r="115" spans="2:7" x14ac:dyDescent="0.25">
      <c r="B115" s="37" t="s">
        <v>155</v>
      </c>
      <c r="C115" s="37" t="s">
        <v>1139</v>
      </c>
      <c r="D115" s="15" t="s">
        <v>1160</v>
      </c>
      <c r="E115" s="175">
        <v>44361</v>
      </c>
      <c r="F115" s="37" t="s">
        <v>1140</v>
      </c>
      <c r="G115" s="37" t="s">
        <v>1518</v>
      </c>
    </row>
    <row r="116" spans="2:7" x14ac:dyDescent="0.25">
      <c r="B116" s="37" t="s">
        <v>155</v>
      </c>
      <c r="C116" s="37" t="s">
        <v>2098</v>
      </c>
      <c r="D116" s="14" t="s">
        <v>2099</v>
      </c>
      <c r="E116" s="175">
        <v>44361</v>
      </c>
      <c r="F116" s="37" t="s">
        <v>2101</v>
      </c>
      <c r="G116" s="37" t="s">
        <v>1305</v>
      </c>
    </row>
    <row r="117" spans="2:7" ht="30" x14ac:dyDescent="0.25">
      <c r="B117" s="37" t="s">
        <v>68</v>
      </c>
      <c r="C117" s="37" t="s">
        <v>32</v>
      </c>
      <c r="D117" s="14" t="s">
        <v>2102</v>
      </c>
      <c r="E117" s="175">
        <v>44361</v>
      </c>
      <c r="F117" s="37" t="s">
        <v>201</v>
      </c>
      <c r="G117" s="37" t="s">
        <v>2103</v>
      </c>
    </row>
    <row r="118" spans="2:7" ht="30" x14ac:dyDescent="0.25">
      <c r="B118" s="37" t="s">
        <v>68</v>
      </c>
      <c r="C118" s="37" t="s">
        <v>173</v>
      </c>
      <c r="D118" s="14" t="s">
        <v>2108</v>
      </c>
      <c r="E118" s="175">
        <v>44361</v>
      </c>
      <c r="F118" s="37" t="s">
        <v>979</v>
      </c>
      <c r="G118" s="37" t="s">
        <v>1305</v>
      </c>
    </row>
    <row r="119" spans="2:7" ht="30" x14ac:dyDescent="0.25">
      <c r="B119" s="37" t="s">
        <v>68</v>
      </c>
      <c r="C119" s="37" t="s">
        <v>933</v>
      </c>
      <c r="D119" s="14" t="s">
        <v>2104</v>
      </c>
      <c r="E119" s="175">
        <v>44361</v>
      </c>
      <c r="F119" s="37" t="s">
        <v>2105</v>
      </c>
      <c r="G119" s="37" t="s">
        <v>1518</v>
      </c>
    </row>
    <row r="120" spans="2:7" ht="30" x14ac:dyDescent="0.25">
      <c r="B120" s="37" t="s">
        <v>68</v>
      </c>
      <c r="C120" s="37" t="s">
        <v>933</v>
      </c>
      <c r="D120" s="43" t="s">
        <v>2107</v>
      </c>
      <c r="E120" s="175">
        <v>44361</v>
      </c>
      <c r="F120" s="37" t="s">
        <v>2106</v>
      </c>
      <c r="G120" s="37" t="s">
        <v>1305</v>
      </c>
    </row>
    <row r="121" spans="2:7" ht="30" x14ac:dyDescent="0.25">
      <c r="B121" s="37" t="s">
        <v>68</v>
      </c>
      <c r="C121" s="37" t="s">
        <v>2109</v>
      </c>
      <c r="D121" s="14" t="s">
        <v>1131</v>
      </c>
      <c r="E121" s="175">
        <v>44361</v>
      </c>
      <c r="F121" s="37" t="s">
        <v>2110</v>
      </c>
      <c r="G121" s="37" t="s">
        <v>2111</v>
      </c>
    </row>
    <row r="122" spans="2:7" x14ac:dyDescent="0.25">
      <c r="B122" s="37" t="s">
        <v>68</v>
      </c>
      <c r="C122" s="37" t="s">
        <v>2112</v>
      </c>
      <c r="D122" s="15" t="s">
        <v>2113</v>
      </c>
      <c r="E122" s="175">
        <v>44361</v>
      </c>
      <c r="F122" s="37" t="s">
        <v>2114</v>
      </c>
      <c r="G122" s="37" t="s">
        <v>2115</v>
      </c>
    </row>
    <row r="123" spans="2:7" ht="30" x14ac:dyDescent="0.25">
      <c r="B123" s="37" t="s">
        <v>68</v>
      </c>
      <c r="C123" s="37" t="s">
        <v>933</v>
      </c>
      <c r="D123" s="14" t="s">
        <v>1845</v>
      </c>
      <c r="E123" s="175">
        <v>44361</v>
      </c>
      <c r="F123" s="37" t="s">
        <v>2116</v>
      </c>
      <c r="G123" s="37" t="s">
        <v>2115</v>
      </c>
    </row>
    <row r="124" spans="2:7" ht="30" x14ac:dyDescent="0.25">
      <c r="B124" s="37" t="s">
        <v>68</v>
      </c>
      <c r="C124" s="37" t="s">
        <v>202</v>
      </c>
      <c r="D124" s="14" t="s">
        <v>1845</v>
      </c>
      <c r="E124" s="175">
        <v>44361</v>
      </c>
      <c r="F124" s="37" t="s">
        <v>1350</v>
      </c>
      <c r="G124" s="37" t="s">
        <v>1301</v>
      </c>
    </row>
    <row r="125" spans="2:7" ht="30" x14ac:dyDescent="0.25">
      <c r="B125" s="37" t="s">
        <v>68</v>
      </c>
      <c r="C125" s="37" t="s">
        <v>1515</v>
      </c>
      <c r="D125" s="14" t="s">
        <v>2117</v>
      </c>
      <c r="E125" s="175">
        <v>44361</v>
      </c>
      <c r="F125" s="37" t="s">
        <v>1517</v>
      </c>
      <c r="G125" s="37" t="s">
        <v>1301</v>
      </c>
    </row>
    <row r="126" spans="2:7" ht="45" x14ac:dyDescent="0.25">
      <c r="B126" s="37" t="s">
        <v>41</v>
      </c>
      <c r="C126" s="37" t="s">
        <v>2118</v>
      </c>
      <c r="D126" s="14" t="s">
        <v>2119</v>
      </c>
      <c r="E126" s="175">
        <v>44361</v>
      </c>
      <c r="F126" s="37" t="s">
        <v>2125</v>
      </c>
      <c r="G126" s="37" t="s">
        <v>1305</v>
      </c>
    </row>
    <row r="127" spans="2:7" ht="45" x14ac:dyDescent="0.25">
      <c r="B127" s="37" t="s">
        <v>41</v>
      </c>
      <c r="C127" s="37" t="s">
        <v>203</v>
      </c>
      <c r="D127" s="14" t="s">
        <v>2120</v>
      </c>
      <c r="E127" s="175">
        <v>44361</v>
      </c>
      <c r="F127" s="37" t="s">
        <v>914</v>
      </c>
      <c r="G127" s="37" t="s">
        <v>2121</v>
      </c>
    </row>
    <row r="128" spans="2:7" x14ac:dyDescent="0.25">
      <c r="B128" s="37" t="s">
        <v>41</v>
      </c>
      <c r="C128" s="37" t="s">
        <v>203</v>
      </c>
      <c r="D128" s="15" t="s">
        <v>2122</v>
      </c>
      <c r="E128" s="175">
        <v>44361</v>
      </c>
      <c r="F128" s="37" t="s">
        <v>931</v>
      </c>
      <c r="G128" s="37" t="s">
        <v>2121</v>
      </c>
    </row>
    <row r="129" spans="2:7" ht="30" x14ac:dyDescent="0.25">
      <c r="B129" s="37" t="s">
        <v>41</v>
      </c>
      <c r="C129" s="37" t="s">
        <v>212</v>
      </c>
      <c r="D129" s="14" t="s">
        <v>2123</v>
      </c>
      <c r="E129" s="175">
        <v>44361</v>
      </c>
      <c r="F129" s="37" t="s">
        <v>2124</v>
      </c>
      <c r="G129" s="37" t="s">
        <v>1301</v>
      </c>
    </row>
    <row r="130" spans="2:7" ht="30" x14ac:dyDescent="0.25">
      <c r="B130" s="37" t="s">
        <v>50</v>
      </c>
      <c r="C130" s="37" t="s">
        <v>1267</v>
      </c>
      <c r="D130" s="14" t="s">
        <v>2117</v>
      </c>
      <c r="E130" s="175">
        <v>44361</v>
      </c>
      <c r="F130" s="37" t="s">
        <v>1270</v>
      </c>
      <c r="G130" s="37" t="s">
        <v>2126</v>
      </c>
    </row>
    <row r="131" spans="2:7" x14ac:dyDescent="0.25">
      <c r="B131" s="37" t="s">
        <v>50</v>
      </c>
      <c r="C131" s="37" t="s">
        <v>933</v>
      </c>
      <c r="D131" s="15" t="s">
        <v>2122</v>
      </c>
      <c r="E131" s="175">
        <v>44361</v>
      </c>
      <c r="F131" s="37" t="s">
        <v>1159</v>
      </c>
      <c r="G131" s="37" t="s">
        <v>2121</v>
      </c>
    </row>
    <row r="132" spans="2:7" ht="30" x14ac:dyDescent="0.25">
      <c r="B132" s="37" t="s">
        <v>41</v>
      </c>
      <c r="C132" s="37" t="s">
        <v>212</v>
      </c>
      <c r="D132" s="14" t="s">
        <v>2148</v>
      </c>
      <c r="E132" s="175">
        <v>44362</v>
      </c>
      <c r="F132" s="37" t="s">
        <v>2124</v>
      </c>
      <c r="G132" s="37" t="s">
        <v>2149</v>
      </c>
    </row>
    <row r="133" spans="2:7" ht="30" x14ac:dyDescent="0.25">
      <c r="B133" s="37" t="s">
        <v>41</v>
      </c>
      <c r="C133" s="37" t="s">
        <v>2118</v>
      </c>
      <c r="D133" s="14" t="s">
        <v>2150</v>
      </c>
      <c r="E133" s="175">
        <v>44362</v>
      </c>
      <c r="F133" s="37" t="s">
        <v>2125</v>
      </c>
      <c r="G133" s="12" t="s">
        <v>2151</v>
      </c>
    </row>
    <row r="134" spans="2:7" ht="30" x14ac:dyDescent="0.25">
      <c r="B134" s="37" t="s">
        <v>155</v>
      </c>
      <c r="C134" s="37" t="s">
        <v>388</v>
      </c>
      <c r="D134" s="14" t="s">
        <v>1845</v>
      </c>
      <c r="E134" s="175">
        <v>44362</v>
      </c>
      <c r="F134" s="37" t="s">
        <v>999</v>
      </c>
      <c r="G134" s="37" t="s">
        <v>2121</v>
      </c>
    </row>
    <row r="135" spans="2:7" ht="30" x14ac:dyDescent="0.25">
      <c r="B135" s="37" t="s">
        <v>155</v>
      </c>
      <c r="C135" s="37" t="s">
        <v>165</v>
      </c>
      <c r="D135" s="14" t="s">
        <v>1845</v>
      </c>
      <c r="E135" s="175">
        <v>44362</v>
      </c>
      <c r="F135" s="37" t="s">
        <v>2170</v>
      </c>
      <c r="G135" s="37" t="s">
        <v>1305</v>
      </c>
    </row>
    <row r="136" spans="2:7" ht="30" x14ac:dyDescent="0.25">
      <c r="B136" s="37" t="s">
        <v>155</v>
      </c>
      <c r="C136" s="37" t="s">
        <v>1832</v>
      </c>
      <c r="D136" s="14" t="s">
        <v>2174</v>
      </c>
      <c r="E136" s="175">
        <v>44362</v>
      </c>
      <c r="F136" s="37" t="s">
        <v>1831</v>
      </c>
      <c r="G136" s="37" t="s">
        <v>2176</v>
      </c>
    </row>
    <row r="137" spans="2:7" x14ac:dyDescent="0.25">
      <c r="B137" s="37" t="s">
        <v>155</v>
      </c>
      <c r="C137" s="37" t="s">
        <v>1139</v>
      </c>
      <c r="D137" s="15" t="s">
        <v>1160</v>
      </c>
      <c r="E137" s="175">
        <v>44362</v>
      </c>
      <c r="F137" s="37" t="s">
        <v>1140</v>
      </c>
      <c r="G137" s="37" t="s">
        <v>2175</v>
      </c>
    </row>
    <row r="138" spans="2:7" ht="30" x14ac:dyDescent="0.25">
      <c r="B138" s="37" t="s">
        <v>155</v>
      </c>
      <c r="C138" s="37" t="s">
        <v>176</v>
      </c>
      <c r="D138" s="14" t="s">
        <v>1845</v>
      </c>
      <c r="E138" s="175">
        <v>44362</v>
      </c>
      <c r="F138" s="37" t="s">
        <v>973</v>
      </c>
      <c r="G138" s="37" t="s">
        <v>1305</v>
      </c>
    </row>
    <row r="139" spans="2:7" ht="30" x14ac:dyDescent="0.25">
      <c r="B139" s="37" t="s">
        <v>68</v>
      </c>
      <c r="C139" s="37" t="s">
        <v>202</v>
      </c>
      <c r="D139" s="14" t="s">
        <v>1845</v>
      </c>
      <c r="E139" s="175">
        <v>44362</v>
      </c>
      <c r="F139" s="37" t="s">
        <v>2179</v>
      </c>
      <c r="G139" s="37" t="s">
        <v>1301</v>
      </c>
    </row>
    <row r="140" spans="2:7" x14ac:dyDescent="0.25">
      <c r="B140" s="37" t="s">
        <v>68</v>
      </c>
      <c r="C140" s="37" t="s">
        <v>933</v>
      </c>
      <c r="D140" s="15" t="s">
        <v>2122</v>
      </c>
      <c r="E140" s="175">
        <v>44362</v>
      </c>
      <c r="F140" s="37" t="s">
        <v>2116</v>
      </c>
      <c r="G140" s="37" t="s">
        <v>1305</v>
      </c>
    </row>
    <row r="141" spans="2:7" ht="30" x14ac:dyDescent="0.25">
      <c r="B141" s="37" t="s">
        <v>68</v>
      </c>
      <c r="C141" s="37" t="s">
        <v>933</v>
      </c>
      <c r="D141" s="14" t="s">
        <v>1845</v>
      </c>
      <c r="E141" s="175">
        <v>44362</v>
      </c>
      <c r="F141" s="37" t="s">
        <v>2105</v>
      </c>
      <c r="G141" s="37" t="s">
        <v>1301</v>
      </c>
    </row>
    <row r="142" spans="2:7" ht="30" x14ac:dyDescent="0.25">
      <c r="B142" s="37" t="s">
        <v>68</v>
      </c>
      <c r="C142" s="37" t="s">
        <v>933</v>
      </c>
      <c r="D142" s="43" t="s">
        <v>2107</v>
      </c>
      <c r="E142" s="175">
        <v>44362</v>
      </c>
      <c r="F142" s="37" t="s">
        <v>2106</v>
      </c>
      <c r="G142" s="37" t="s">
        <v>1305</v>
      </c>
    </row>
    <row r="143" spans="2:7" x14ac:dyDescent="0.25">
      <c r="B143" s="37" t="s">
        <v>41</v>
      </c>
      <c r="C143" s="37" t="s">
        <v>910</v>
      </c>
      <c r="D143" s="15" t="s">
        <v>2122</v>
      </c>
      <c r="E143" s="175">
        <v>44362</v>
      </c>
      <c r="F143" s="37" t="s">
        <v>914</v>
      </c>
      <c r="G143" s="37" t="s">
        <v>2180</v>
      </c>
    </row>
    <row r="144" spans="2:7" x14ac:dyDescent="0.25">
      <c r="B144" s="37" t="s">
        <v>50</v>
      </c>
      <c r="C144" s="37" t="s">
        <v>933</v>
      </c>
      <c r="D144" s="15" t="s">
        <v>2122</v>
      </c>
      <c r="E144" s="175">
        <v>44362</v>
      </c>
      <c r="F144" s="37" t="s">
        <v>1159</v>
      </c>
      <c r="G144" s="37" t="s">
        <v>2121</v>
      </c>
    </row>
    <row r="145" spans="2:7" ht="30" x14ac:dyDescent="0.25">
      <c r="B145" s="37" t="s">
        <v>50</v>
      </c>
      <c r="C145" s="37" t="s">
        <v>181</v>
      </c>
      <c r="D145" s="14" t="s">
        <v>2185</v>
      </c>
      <c r="E145" s="175">
        <v>44362</v>
      </c>
      <c r="F145" s="37" t="s">
        <v>2186</v>
      </c>
      <c r="G145" s="37" t="s">
        <v>1305</v>
      </c>
    </row>
    <row r="146" spans="2:7" ht="30" x14ac:dyDescent="0.25">
      <c r="B146" s="37" t="s">
        <v>50</v>
      </c>
      <c r="C146" s="37" t="s">
        <v>1267</v>
      </c>
      <c r="D146" s="14" t="s">
        <v>1845</v>
      </c>
      <c r="E146" s="175">
        <v>44362</v>
      </c>
      <c r="F146" s="37" t="s">
        <v>1270</v>
      </c>
      <c r="G146" s="37" t="s">
        <v>2180</v>
      </c>
    </row>
    <row r="147" spans="2:7" x14ac:dyDescent="0.25">
      <c r="B147" s="37" t="s">
        <v>50</v>
      </c>
      <c r="C147" s="37" t="s">
        <v>1267</v>
      </c>
      <c r="D147" s="43" t="s">
        <v>1846</v>
      </c>
      <c r="E147" s="175">
        <v>44363</v>
      </c>
      <c r="F147" s="37" t="s">
        <v>2189</v>
      </c>
      <c r="G147" s="37" t="s">
        <v>1305</v>
      </c>
    </row>
    <row r="148" spans="2:7" x14ac:dyDescent="0.25">
      <c r="B148" s="37" t="s">
        <v>50</v>
      </c>
      <c r="C148" s="37" t="s">
        <v>1267</v>
      </c>
      <c r="D148" s="43" t="s">
        <v>1846</v>
      </c>
      <c r="E148" s="175">
        <v>44363</v>
      </c>
      <c r="F148" s="37" t="s">
        <v>2190</v>
      </c>
      <c r="G148" s="37" t="s">
        <v>1305</v>
      </c>
    </row>
    <row r="149" spans="2:7" x14ac:dyDescent="0.25">
      <c r="B149" s="37" t="s">
        <v>50</v>
      </c>
      <c r="C149" s="37" t="s">
        <v>908</v>
      </c>
      <c r="D149" s="43" t="s">
        <v>1846</v>
      </c>
      <c r="E149" s="175"/>
      <c r="F149" s="37"/>
      <c r="G149" s="37"/>
    </row>
    <row r="150" spans="2:7" x14ac:dyDescent="0.25">
      <c r="B150" s="37" t="s">
        <v>41</v>
      </c>
      <c r="C150" s="37" t="s">
        <v>910</v>
      </c>
      <c r="D150" s="15" t="s">
        <v>2122</v>
      </c>
      <c r="E150" s="175">
        <v>44363</v>
      </c>
      <c r="F150" s="37" t="s">
        <v>931</v>
      </c>
      <c r="G150" s="37" t="s">
        <v>2121</v>
      </c>
    </row>
    <row r="151" spans="2:7" x14ac:dyDescent="0.25">
      <c r="B151" s="37" t="s">
        <v>41</v>
      </c>
      <c r="C151" s="37" t="s">
        <v>910</v>
      </c>
      <c r="D151" s="15" t="s">
        <v>2122</v>
      </c>
      <c r="E151" s="175">
        <v>44332</v>
      </c>
      <c r="F151" s="37" t="s">
        <v>1349</v>
      </c>
      <c r="G151" s="37" t="s">
        <v>1305</v>
      </c>
    </row>
    <row r="152" spans="2:7" ht="30" x14ac:dyDescent="0.25">
      <c r="B152" s="37" t="s">
        <v>41</v>
      </c>
      <c r="C152" s="37" t="s">
        <v>910</v>
      </c>
      <c r="D152" s="14" t="s">
        <v>2185</v>
      </c>
      <c r="E152" s="175">
        <v>44332</v>
      </c>
      <c r="F152" s="37" t="s">
        <v>914</v>
      </c>
      <c r="G152" s="37" t="s">
        <v>1305</v>
      </c>
    </row>
    <row r="153" spans="2:7" x14ac:dyDescent="0.25">
      <c r="B153" s="37" t="s">
        <v>155</v>
      </c>
      <c r="C153" s="37" t="s">
        <v>1139</v>
      </c>
      <c r="D153" s="15" t="s">
        <v>2122</v>
      </c>
      <c r="E153" s="175">
        <v>44363</v>
      </c>
      <c r="F153" s="37" t="s">
        <v>1140</v>
      </c>
      <c r="G153" s="37" t="s">
        <v>2191</v>
      </c>
    </row>
    <row r="154" spans="2:7" ht="30" x14ac:dyDescent="0.25">
      <c r="B154" s="37" t="s">
        <v>155</v>
      </c>
      <c r="C154" s="37" t="s">
        <v>187</v>
      </c>
      <c r="D154" s="43" t="s">
        <v>2192</v>
      </c>
      <c r="E154" s="175">
        <v>44363</v>
      </c>
      <c r="F154" s="37" t="s">
        <v>1830</v>
      </c>
      <c r="G154" s="37" t="s">
        <v>1305</v>
      </c>
    </row>
    <row r="155" spans="2:7" ht="30" x14ac:dyDescent="0.25">
      <c r="B155" s="37" t="s">
        <v>155</v>
      </c>
      <c r="C155" s="37" t="s">
        <v>176</v>
      </c>
      <c r="D155" s="43" t="s">
        <v>2193</v>
      </c>
      <c r="E155" s="175">
        <v>44363</v>
      </c>
      <c r="F155" s="37" t="s">
        <v>973</v>
      </c>
      <c r="G155" s="37" t="s">
        <v>1305</v>
      </c>
    </row>
    <row r="156" spans="2:7" ht="30" x14ac:dyDescent="0.25">
      <c r="B156" s="37" t="s">
        <v>41</v>
      </c>
      <c r="C156" s="37" t="s">
        <v>2118</v>
      </c>
      <c r="D156" s="14" t="s">
        <v>2242</v>
      </c>
      <c r="E156" s="175">
        <v>44363</v>
      </c>
      <c r="F156" s="37" t="s">
        <v>213</v>
      </c>
      <c r="G156" s="37" t="s">
        <v>2241</v>
      </c>
    </row>
    <row r="157" spans="2:7" ht="30" x14ac:dyDescent="0.25">
      <c r="B157" s="37" t="s">
        <v>41</v>
      </c>
      <c r="C157" s="37" t="s">
        <v>2243</v>
      </c>
      <c r="D157" s="43" t="s">
        <v>2107</v>
      </c>
      <c r="E157" s="175">
        <v>44363</v>
      </c>
      <c r="F157" s="37" t="s">
        <v>2244</v>
      </c>
      <c r="G157" s="37" t="s">
        <v>1305</v>
      </c>
    </row>
    <row r="158" spans="2:7" ht="30" x14ac:dyDescent="0.25">
      <c r="B158" s="37" t="s">
        <v>155</v>
      </c>
      <c r="C158" s="37" t="s">
        <v>1139</v>
      </c>
      <c r="D158" s="14" t="s">
        <v>1845</v>
      </c>
      <c r="E158" s="175">
        <v>44364</v>
      </c>
      <c r="F158" s="37" t="s">
        <v>1140</v>
      </c>
      <c r="G158" s="37" t="s">
        <v>1305</v>
      </c>
    </row>
    <row r="159" spans="2:7" x14ac:dyDescent="0.25">
      <c r="B159" s="37" t="s">
        <v>68</v>
      </c>
      <c r="C159" s="37" t="s">
        <v>32</v>
      </c>
      <c r="D159" s="15" t="s">
        <v>2122</v>
      </c>
      <c r="E159" s="175">
        <v>44364</v>
      </c>
      <c r="F159" s="37" t="s">
        <v>201</v>
      </c>
      <c r="G159" s="37" t="s">
        <v>2121</v>
      </c>
    </row>
    <row r="160" spans="2:7" ht="30" x14ac:dyDescent="0.25">
      <c r="B160" s="37" t="s">
        <v>68</v>
      </c>
      <c r="C160" s="37" t="s">
        <v>933</v>
      </c>
      <c r="D160" s="14" t="s">
        <v>2261</v>
      </c>
      <c r="E160" s="175">
        <v>44364</v>
      </c>
      <c r="F160" s="37" t="s">
        <v>2116</v>
      </c>
      <c r="G160" s="37" t="s">
        <v>2258</v>
      </c>
    </row>
    <row r="161" spans="2:7" ht="30" x14ac:dyDescent="0.25">
      <c r="B161" s="37" t="s">
        <v>68</v>
      </c>
      <c r="C161" s="37" t="s">
        <v>933</v>
      </c>
      <c r="D161" s="14" t="s">
        <v>2261</v>
      </c>
      <c r="E161" s="175">
        <v>44364</v>
      </c>
      <c r="F161" s="37" t="s">
        <v>2105</v>
      </c>
      <c r="G161" s="37" t="s">
        <v>1305</v>
      </c>
    </row>
    <row r="162" spans="2:7" x14ac:dyDescent="0.25">
      <c r="B162" s="37" t="s">
        <v>155</v>
      </c>
      <c r="C162" s="37" t="s">
        <v>187</v>
      </c>
      <c r="D162" s="14" t="s">
        <v>2262</v>
      </c>
      <c r="E162" s="175">
        <v>44364</v>
      </c>
      <c r="F162" s="37" t="s">
        <v>1830</v>
      </c>
      <c r="G162" s="37" t="s">
        <v>1305</v>
      </c>
    </row>
    <row r="163" spans="2:7" x14ac:dyDescent="0.25">
      <c r="B163" s="37" t="s">
        <v>155</v>
      </c>
      <c r="C163" s="37" t="s">
        <v>166</v>
      </c>
      <c r="D163" s="15" t="s">
        <v>2122</v>
      </c>
      <c r="E163" s="175">
        <v>44364</v>
      </c>
      <c r="F163" s="37" t="s">
        <v>2100</v>
      </c>
      <c r="G163" s="37" t="s">
        <v>2121</v>
      </c>
    </row>
    <row r="164" spans="2:7" x14ac:dyDescent="0.25">
      <c r="B164" s="37" t="s">
        <v>41</v>
      </c>
      <c r="C164" s="37" t="s">
        <v>910</v>
      </c>
      <c r="D164" s="15" t="s">
        <v>2265</v>
      </c>
      <c r="E164" s="175">
        <v>44364</v>
      </c>
      <c r="F164" s="37" t="s">
        <v>914</v>
      </c>
      <c r="G164" s="37" t="s">
        <v>1305</v>
      </c>
    </row>
    <row r="165" spans="2:7" ht="30" x14ac:dyDescent="0.25">
      <c r="B165" s="37" t="s">
        <v>41</v>
      </c>
      <c r="C165" s="37" t="s">
        <v>197</v>
      </c>
      <c r="D165" s="43" t="s">
        <v>2107</v>
      </c>
      <c r="E165" s="175">
        <v>44364</v>
      </c>
      <c r="F165" s="37" t="s">
        <v>198</v>
      </c>
      <c r="G165" s="37" t="s">
        <v>1305</v>
      </c>
    </row>
    <row r="166" spans="2:7" ht="30" x14ac:dyDescent="0.25">
      <c r="B166" s="37" t="s">
        <v>50</v>
      </c>
      <c r="C166" s="37" t="s">
        <v>1267</v>
      </c>
      <c r="D166" s="43" t="s">
        <v>2268</v>
      </c>
      <c r="E166" s="175">
        <v>44364</v>
      </c>
      <c r="F166" s="37" t="s">
        <v>2266</v>
      </c>
      <c r="G166" s="37" t="s">
        <v>2267</v>
      </c>
    </row>
    <row r="167" spans="2:7" x14ac:dyDescent="0.25">
      <c r="B167" s="37" t="s">
        <v>68</v>
      </c>
      <c r="C167" s="37" t="s">
        <v>32</v>
      </c>
      <c r="D167" s="15" t="s">
        <v>1160</v>
      </c>
      <c r="E167" s="175">
        <v>44365</v>
      </c>
      <c r="F167" s="37" t="s">
        <v>201</v>
      </c>
      <c r="G167" s="37" t="s">
        <v>2175</v>
      </c>
    </row>
    <row r="168" spans="2:7" x14ac:dyDescent="0.25">
      <c r="B168" s="37" t="s">
        <v>41</v>
      </c>
      <c r="C168" s="37" t="s">
        <v>910</v>
      </c>
      <c r="D168" s="15" t="s">
        <v>2265</v>
      </c>
      <c r="E168" s="175">
        <v>44365</v>
      </c>
      <c r="F168" s="37" t="s">
        <v>914</v>
      </c>
      <c r="G168" s="37" t="s">
        <v>1305</v>
      </c>
    </row>
    <row r="169" spans="2:7" x14ac:dyDescent="0.25">
      <c r="B169" s="37" t="s">
        <v>41</v>
      </c>
      <c r="C169" s="37" t="s">
        <v>939</v>
      </c>
      <c r="D169" s="15" t="s">
        <v>1160</v>
      </c>
      <c r="E169" s="175">
        <v>44365</v>
      </c>
      <c r="F169" s="37" t="s">
        <v>941</v>
      </c>
      <c r="G169" s="37" t="s">
        <v>1301</v>
      </c>
    </row>
    <row r="170" spans="2:7" x14ac:dyDescent="0.25">
      <c r="B170" s="37" t="s">
        <v>155</v>
      </c>
      <c r="C170" s="37" t="s">
        <v>388</v>
      </c>
      <c r="D170" s="15" t="s">
        <v>1160</v>
      </c>
      <c r="E170" s="175">
        <v>44365</v>
      </c>
      <c r="F170" s="37" t="s">
        <v>999</v>
      </c>
      <c r="G170" s="37" t="s">
        <v>2175</v>
      </c>
    </row>
    <row r="171" spans="2:7" ht="30" x14ac:dyDescent="0.25">
      <c r="B171" s="37" t="s">
        <v>68</v>
      </c>
      <c r="C171" s="37" t="s">
        <v>202</v>
      </c>
      <c r="D171" s="43" t="s">
        <v>2277</v>
      </c>
      <c r="E171" s="175">
        <v>44365</v>
      </c>
      <c r="F171" s="37" t="s">
        <v>2179</v>
      </c>
      <c r="G171" s="37" t="s">
        <v>2175</v>
      </c>
    </row>
    <row r="172" spans="2:7" x14ac:dyDescent="0.25">
      <c r="B172" s="37" t="s">
        <v>41</v>
      </c>
      <c r="C172" s="37" t="s">
        <v>2243</v>
      </c>
      <c r="D172" s="15" t="s">
        <v>1160</v>
      </c>
      <c r="E172" s="175">
        <v>44365</v>
      </c>
      <c r="F172" s="37" t="s">
        <v>2244</v>
      </c>
      <c r="G172" s="37" t="s">
        <v>2121</v>
      </c>
    </row>
    <row r="173" spans="2:7" ht="30" x14ac:dyDescent="0.25">
      <c r="B173" s="37" t="s">
        <v>41</v>
      </c>
      <c r="C173" s="37" t="s">
        <v>2118</v>
      </c>
      <c r="D173" s="43" t="s">
        <v>2107</v>
      </c>
      <c r="E173" s="175">
        <v>44365</v>
      </c>
      <c r="F173" s="37" t="s">
        <v>213</v>
      </c>
      <c r="G173" s="37" t="s">
        <v>1301</v>
      </c>
    </row>
    <row r="174" spans="2:7" ht="30" x14ac:dyDescent="0.25">
      <c r="B174" s="37" t="s">
        <v>68</v>
      </c>
      <c r="C174" s="37" t="s">
        <v>199</v>
      </c>
      <c r="D174" s="43" t="s">
        <v>2278</v>
      </c>
      <c r="E174" s="175">
        <v>44365</v>
      </c>
      <c r="F174" s="37" t="s">
        <v>200</v>
      </c>
      <c r="G174" s="37" t="s">
        <v>1301</v>
      </c>
    </row>
    <row r="175" spans="2:7" ht="30" x14ac:dyDescent="0.25">
      <c r="B175" s="37" t="s">
        <v>50</v>
      </c>
      <c r="C175" s="37" t="s">
        <v>1267</v>
      </c>
      <c r="D175" s="14" t="s">
        <v>2279</v>
      </c>
      <c r="E175" s="175">
        <v>44365</v>
      </c>
      <c r="F175" s="37" t="s">
        <v>2280</v>
      </c>
      <c r="G175" s="37" t="s">
        <v>2281</v>
      </c>
    </row>
    <row r="176" spans="2:7" x14ac:dyDescent="0.25">
      <c r="B176" s="37" t="s">
        <v>155</v>
      </c>
      <c r="C176" s="37" t="s">
        <v>1139</v>
      </c>
      <c r="D176" s="15" t="s">
        <v>2282</v>
      </c>
      <c r="E176" s="175">
        <v>44365</v>
      </c>
      <c r="F176" s="37" t="s">
        <v>1140</v>
      </c>
      <c r="G176" s="37" t="s">
        <v>2283</v>
      </c>
    </row>
    <row r="177" spans="2:7" x14ac:dyDescent="0.25">
      <c r="B177" s="37" t="s">
        <v>41</v>
      </c>
      <c r="C177" s="37" t="s">
        <v>910</v>
      </c>
      <c r="D177" s="15" t="s">
        <v>2282</v>
      </c>
      <c r="E177" s="175">
        <v>44365</v>
      </c>
      <c r="F177" s="37" t="s">
        <v>931</v>
      </c>
      <c r="G177" s="37" t="s">
        <v>1305</v>
      </c>
    </row>
    <row r="178" spans="2:7" ht="30" x14ac:dyDescent="0.25">
      <c r="B178" s="37" t="s">
        <v>68</v>
      </c>
      <c r="C178" s="37" t="s">
        <v>202</v>
      </c>
      <c r="D178" s="43" t="s">
        <v>2288</v>
      </c>
      <c r="E178" s="175">
        <v>44368</v>
      </c>
      <c r="F178" s="37" t="s">
        <v>2179</v>
      </c>
      <c r="G178" s="37" t="s">
        <v>2290</v>
      </c>
    </row>
    <row r="179" spans="2:7" x14ac:dyDescent="0.25">
      <c r="B179" s="37" t="s">
        <v>155</v>
      </c>
      <c r="C179" s="37" t="s">
        <v>1139</v>
      </c>
      <c r="D179" s="15" t="s">
        <v>2289</v>
      </c>
      <c r="E179" s="175">
        <v>44368</v>
      </c>
      <c r="F179" s="37" t="s">
        <v>1140</v>
      </c>
      <c r="G179" s="37" t="s">
        <v>2121</v>
      </c>
    </row>
    <row r="180" spans="2:7" x14ac:dyDescent="0.25">
      <c r="B180" s="37" t="s">
        <v>155</v>
      </c>
      <c r="C180" s="37" t="s">
        <v>166</v>
      </c>
      <c r="D180" s="15" t="s">
        <v>2291</v>
      </c>
      <c r="E180" s="175">
        <v>44368</v>
      </c>
      <c r="F180" s="37" t="s">
        <v>2100</v>
      </c>
      <c r="G180" s="37" t="s">
        <v>1305</v>
      </c>
    </row>
    <row r="181" spans="2:7" ht="30" x14ac:dyDescent="0.25">
      <c r="B181" s="37" t="s">
        <v>41</v>
      </c>
      <c r="C181" s="37" t="s">
        <v>212</v>
      </c>
      <c r="D181" s="14" t="s">
        <v>2293</v>
      </c>
      <c r="E181" s="175">
        <v>44368</v>
      </c>
      <c r="F181" s="37" t="s">
        <v>2294</v>
      </c>
      <c r="G181" s="37" t="s">
        <v>2295</v>
      </c>
    </row>
    <row r="182" spans="2:7" ht="30" x14ac:dyDescent="0.25">
      <c r="B182" s="37" t="s">
        <v>41</v>
      </c>
      <c r="C182" s="37" t="s">
        <v>212</v>
      </c>
      <c r="D182" s="14" t="s">
        <v>2296</v>
      </c>
      <c r="E182" s="175">
        <v>44368</v>
      </c>
      <c r="F182" s="37" t="s">
        <v>2292</v>
      </c>
      <c r="G182" s="37" t="s">
        <v>1315</v>
      </c>
    </row>
    <row r="183" spans="2:7" x14ac:dyDescent="0.25">
      <c r="B183" s="37" t="s">
        <v>41</v>
      </c>
      <c r="C183" s="37" t="s">
        <v>2243</v>
      </c>
      <c r="D183" s="15" t="s">
        <v>1160</v>
      </c>
      <c r="E183" s="175">
        <v>44368</v>
      </c>
      <c r="F183" s="37" t="s">
        <v>2244</v>
      </c>
      <c r="G183" s="37" t="s">
        <v>2121</v>
      </c>
    </row>
    <row r="184" spans="2:7" x14ac:dyDescent="0.25">
      <c r="B184" s="37" t="s">
        <v>41</v>
      </c>
      <c r="C184" s="37" t="s">
        <v>203</v>
      </c>
      <c r="D184" s="15" t="s">
        <v>1160</v>
      </c>
      <c r="E184" s="175">
        <v>44368</v>
      </c>
      <c r="F184" s="37" t="s">
        <v>914</v>
      </c>
      <c r="G184" s="37" t="s">
        <v>2307</v>
      </c>
    </row>
    <row r="185" spans="2:7" ht="30" x14ac:dyDescent="0.25">
      <c r="B185" s="37" t="s">
        <v>155</v>
      </c>
      <c r="C185" s="37" t="s">
        <v>176</v>
      </c>
      <c r="D185" s="43" t="s">
        <v>2377</v>
      </c>
      <c r="E185" s="175">
        <v>44368</v>
      </c>
      <c r="F185" s="37" t="s">
        <v>973</v>
      </c>
      <c r="G185" s="37" t="s">
        <v>2283</v>
      </c>
    </row>
    <row r="186" spans="2:7" ht="30" x14ac:dyDescent="0.25">
      <c r="B186" s="37" t="s">
        <v>155</v>
      </c>
      <c r="C186" s="37" t="s">
        <v>187</v>
      </c>
      <c r="D186" s="43" t="s">
        <v>2305</v>
      </c>
      <c r="E186" s="175">
        <v>44368</v>
      </c>
      <c r="F186" s="37" t="s">
        <v>1830</v>
      </c>
      <c r="G186" s="37" t="s">
        <v>2306</v>
      </c>
    </row>
    <row r="187" spans="2:7" ht="30" x14ac:dyDescent="0.25">
      <c r="B187" s="37" t="s">
        <v>155</v>
      </c>
      <c r="C187" s="37" t="s">
        <v>1832</v>
      </c>
      <c r="D187" s="14" t="s">
        <v>2296</v>
      </c>
      <c r="E187" s="175">
        <v>44368</v>
      </c>
      <c r="F187" s="37" t="s">
        <v>1831</v>
      </c>
      <c r="G187" s="37" t="s">
        <v>1301</v>
      </c>
    </row>
    <row r="188" spans="2:7" ht="30" x14ac:dyDescent="0.25">
      <c r="B188" s="37" t="s">
        <v>155</v>
      </c>
      <c r="C188" s="37" t="s">
        <v>933</v>
      </c>
      <c r="D188" s="43" t="s">
        <v>2107</v>
      </c>
      <c r="E188" s="175">
        <v>44368</v>
      </c>
      <c r="F188" s="37" t="s">
        <v>2308</v>
      </c>
      <c r="G188" s="37" t="s">
        <v>2295</v>
      </c>
    </row>
    <row r="189" spans="2:7" ht="30" x14ac:dyDescent="0.25">
      <c r="B189" s="37" t="s">
        <v>68</v>
      </c>
      <c r="C189" s="37" t="s">
        <v>202</v>
      </c>
      <c r="D189" s="14" t="s">
        <v>2316</v>
      </c>
      <c r="E189" s="175">
        <v>44369</v>
      </c>
      <c r="F189" s="37" t="s">
        <v>2179</v>
      </c>
      <c r="G189" s="37" t="s">
        <v>1305</v>
      </c>
    </row>
    <row r="190" spans="2:7" ht="30" x14ac:dyDescent="0.25">
      <c r="B190" s="37" t="s">
        <v>41</v>
      </c>
      <c r="C190" s="37" t="s">
        <v>2118</v>
      </c>
      <c r="D190" s="43" t="s">
        <v>2107</v>
      </c>
      <c r="E190" s="175">
        <v>44369</v>
      </c>
      <c r="F190" s="37" t="s">
        <v>213</v>
      </c>
      <c r="G190" s="37" t="s">
        <v>1305</v>
      </c>
    </row>
    <row r="191" spans="2:7" ht="30" x14ac:dyDescent="0.25">
      <c r="B191" s="37" t="s">
        <v>155</v>
      </c>
      <c r="C191" s="37" t="s">
        <v>176</v>
      </c>
      <c r="D191" s="14" t="s">
        <v>2296</v>
      </c>
      <c r="E191" s="175">
        <v>44369</v>
      </c>
      <c r="F191" s="37" t="s">
        <v>973</v>
      </c>
      <c r="G191" s="37" t="s">
        <v>2306</v>
      </c>
    </row>
    <row r="192" spans="2:7" ht="30" x14ac:dyDescent="0.25">
      <c r="B192" s="37" t="s">
        <v>41</v>
      </c>
      <c r="C192" s="37" t="s">
        <v>203</v>
      </c>
      <c r="D192" s="43" t="s">
        <v>2107</v>
      </c>
      <c r="E192" s="175">
        <v>44369</v>
      </c>
      <c r="F192" s="37" t="s">
        <v>1349</v>
      </c>
      <c r="G192" s="37" t="s">
        <v>2295</v>
      </c>
    </row>
    <row r="193" spans="2:7" x14ac:dyDescent="0.25">
      <c r="B193" s="37" t="s">
        <v>155</v>
      </c>
      <c r="C193" s="37" t="s">
        <v>1139</v>
      </c>
      <c r="D193" s="15" t="s">
        <v>2374</v>
      </c>
      <c r="E193" s="175">
        <v>44369</v>
      </c>
      <c r="F193" s="37" t="s">
        <v>1140</v>
      </c>
      <c r="G193" s="37" t="s">
        <v>1305</v>
      </c>
    </row>
    <row r="194" spans="2:7" x14ac:dyDescent="0.25">
      <c r="B194" s="37" t="s">
        <v>155</v>
      </c>
      <c r="C194" s="37" t="s">
        <v>194</v>
      </c>
      <c r="D194" s="15" t="s">
        <v>2375</v>
      </c>
      <c r="E194" s="175">
        <v>44369</v>
      </c>
      <c r="F194" s="37" t="s">
        <v>207</v>
      </c>
      <c r="G194" s="37" t="s">
        <v>2376</v>
      </c>
    </row>
    <row r="195" spans="2:7" ht="30" x14ac:dyDescent="0.25">
      <c r="B195" s="37" t="s">
        <v>155</v>
      </c>
      <c r="C195" s="37" t="s">
        <v>166</v>
      </c>
      <c r="D195" s="43" t="s">
        <v>2107</v>
      </c>
      <c r="E195" s="175">
        <v>44369</v>
      </c>
      <c r="F195" s="37" t="s">
        <v>2100</v>
      </c>
      <c r="G195" s="37" t="s">
        <v>1305</v>
      </c>
    </row>
    <row r="196" spans="2:7" ht="30" x14ac:dyDescent="0.25">
      <c r="B196" s="37" t="s">
        <v>155</v>
      </c>
      <c r="C196" s="37" t="s">
        <v>187</v>
      </c>
      <c r="D196" s="14" t="s">
        <v>2296</v>
      </c>
      <c r="E196" s="175">
        <v>44369</v>
      </c>
      <c r="F196" s="37" t="s">
        <v>1830</v>
      </c>
      <c r="G196" s="37" t="s">
        <v>1301</v>
      </c>
    </row>
    <row r="197" spans="2:7" ht="30" x14ac:dyDescent="0.25">
      <c r="B197" s="37" t="s">
        <v>68</v>
      </c>
      <c r="C197" s="37" t="s">
        <v>32</v>
      </c>
      <c r="D197" s="14" t="s">
        <v>2378</v>
      </c>
      <c r="E197" s="175">
        <v>44369</v>
      </c>
      <c r="F197" s="37" t="s">
        <v>201</v>
      </c>
      <c r="G197" s="37" t="s">
        <v>2379</v>
      </c>
    </row>
    <row r="198" spans="2:7" ht="30" x14ac:dyDescent="0.25">
      <c r="B198" s="37" t="s">
        <v>68</v>
      </c>
      <c r="C198" s="37" t="s">
        <v>933</v>
      </c>
      <c r="D198" s="43" t="s">
        <v>2380</v>
      </c>
      <c r="E198" s="175">
        <v>44369</v>
      </c>
      <c r="F198" s="37" t="s">
        <v>2116</v>
      </c>
      <c r="G198" s="37" t="s">
        <v>1305</v>
      </c>
    </row>
    <row r="199" spans="2:7" ht="30" x14ac:dyDescent="0.25">
      <c r="B199" s="37" t="s">
        <v>50</v>
      </c>
      <c r="C199" s="37" t="s">
        <v>1267</v>
      </c>
      <c r="D199" s="43" t="s">
        <v>2107</v>
      </c>
      <c r="E199" s="175">
        <v>44369</v>
      </c>
      <c r="F199" s="37" t="s">
        <v>1269</v>
      </c>
      <c r="G199" s="37" t="s">
        <v>1305</v>
      </c>
    </row>
    <row r="200" spans="2:7" ht="30" x14ac:dyDescent="0.25">
      <c r="B200" s="37" t="s">
        <v>50</v>
      </c>
      <c r="C200" s="37" t="s">
        <v>1267</v>
      </c>
      <c r="D200" s="43" t="s">
        <v>2381</v>
      </c>
      <c r="E200" s="175">
        <v>44369</v>
      </c>
      <c r="F200" s="37" t="s">
        <v>2266</v>
      </c>
      <c r="G200" s="37" t="s">
        <v>2295</v>
      </c>
    </row>
    <row r="201" spans="2:7" ht="30" x14ac:dyDescent="0.25">
      <c r="B201" s="37" t="s">
        <v>50</v>
      </c>
      <c r="C201" s="37" t="s">
        <v>1267</v>
      </c>
      <c r="D201" s="43" t="s">
        <v>2107</v>
      </c>
      <c r="E201" s="175">
        <v>44369</v>
      </c>
      <c r="F201" s="37" t="s">
        <v>1270</v>
      </c>
      <c r="G201" s="37" t="s">
        <v>2295</v>
      </c>
    </row>
    <row r="202" spans="2:7" ht="30" x14ac:dyDescent="0.25">
      <c r="B202" s="37" t="s">
        <v>50</v>
      </c>
      <c r="C202" s="37" t="s">
        <v>908</v>
      </c>
      <c r="D202" s="14" t="s">
        <v>2378</v>
      </c>
      <c r="E202" s="175">
        <v>44369</v>
      </c>
      <c r="F202" s="37" t="s">
        <v>968</v>
      </c>
      <c r="G202" s="37" t="s">
        <v>1305</v>
      </c>
    </row>
    <row r="203" spans="2:7" ht="30" x14ac:dyDescent="0.25">
      <c r="B203" s="37" t="s">
        <v>50</v>
      </c>
      <c r="C203" s="37" t="s">
        <v>2382</v>
      </c>
      <c r="D203" s="14" t="s">
        <v>195</v>
      </c>
      <c r="E203" s="175">
        <v>44369</v>
      </c>
      <c r="F203" s="37" t="s">
        <v>2383</v>
      </c>
      <c r="G203" s="37" t="s">
        <v>2384</v>
      </c>
    </row>
    <row r="204" spans="2:7" x14ac:dyDescent="0.25">
      <c r="B204" s="37" t="s">
        <v>68</v>
      </c>
      <c r="C204" s="37" t="s">
        <v>167</v>
      </c>
      <c r="D204" s="43" t="s">
        <v>1846</v>
      </c>
      <c r="E204" s="175">
        <v>44370</v>
      </c>
      <c r="F204" s="37" t="s">
        <v>978</v>
      </c>
      <c r="G204" s="37" t="s">
        <v>1305</v>
      </c>
    </row>
    <row r="205" spans="2:7" ht="30" x14ac:dyDescent="0.25">
      <c r="B205" s="37" t="s">
        <v>50</v>
      </c>
      <c r="C205" s="37" t="s">
        <v>181</v>
      </c>
      <c r="D205" s="43" t="s">
        <v>2107</v>
      </c>
      <c r="E205" s="175">
        <v>44370</v>
      </c>
      <c r="F205" s="37" t="s">
        <v>2186</v>
      </c>
      <c r="G205" s="37" t="s">
        <v>2295</v>
      </c>
    </row>
    <row r="206" spans="2:7" x14ac:dyDescent="0.25">
      <c r="B206" s="37" t="s">
        <v>68</v>
      </c>
      <c r="C206" s="37" t="s">
        <v>32</v>
      </c>
      <c r="D206" s="43" t="s">
        <v>1846</v>
      </c>
      <c r="E206" s="175">
        <v>44370</v>
      </c>
      <c r="F206" s="37" t="s">
        <v>201</v>
      </c>
      <c r="G206" s="37" t="s">
        <v>1305</v>
      </c>
    </row>
    <row r="207" spans="2:7" ht="30" x14ac:dyDescent="0.25">
      <c r="B207" s="37" t="s">
        <v>68</v>
      </c>
      <c r="C207" s="37" t="s">
        <v>933</v>
      </c>
      <c r="D207" s="14" t="s">
        <v>2296</v>
      </c>
      <c r="E207" s="175">
        <v>44370</v>
      </c>
      <c r="F207" s="37" t="s">
        <v>2106</v>
      </c>
      <c r="G207" s="37" t="s">
        <v>1305</v>
      </c>
    </row>
    <row r="208" spans="2:7" ht="30" x14ac:dyDescent="0.25">
      <c r="B208" s="37" t="s">
        <v>68</v>
      </c>
      <c r="C208" s="37" t="s">
        <v>933</v>
      </c>
      <c r="D208" s="14" t="s">
        <v>2378</v>
      </c>
      <c r="E208" s="175">
        <v>44372</v>
      </c>
      <c r="F208" s="37" t="s">
        <v>2106</v>
      </c>
      <c r="G208" s="37" t="s">
        <v>2472</v>
      </c>
    </row>
    <row r="209" spans="2:7" ht="30" x14ac:dyDescent="0.25">
      <c r="B209" s="37" t="s">
        <v>41</v>
      </c>
      <c r="C209" s="37" t="s">
        <v>197</v>
      </c>
      <c r="D209" s="14" t="s">
        <v>2296</v>
      </c>
      <c r="E209" s="175">
        <v>44372</v>
      </c>
      <c r="F209" s="37" t="s">
        <v>198</v>
      </c>
      <c r="G209" s="37" t="s">
        <v>1305</v>
      </c>
    </row>
    <row r="210" spans="2:7" ht="30" x14ac:dyDescent="0.25">
      <c r="B210" s="37" t="s">
        <v>41</v>
      </c>
      <c r="C210" s="37" t="s">
        <v>212</v>
      </c>
      <c r="D210" s="14" t="s">
        <v>2296</v>
      </c>
      <c r="E210" s="175">
        <v>44372</v>
      </c>
      <c r="F210" s="37" t="s">
        <v>2292</v>
      </c>
      <c r="G210" s="37" t="s">
        <v>1305</v>
      </c>
    </row>
    <row r="211" spans="2:7" ht="30" x14ac:dyDescent="0.25">
      <c r="B211" s="37" t="s">
        <v>41</v>
      </c>
      <c r="C211" s="37" t="s">
        <v>203</v>
      </c>
      <c r="D211" s="14" t="s">
        <v>2479</v>
      </c>
      <c r="E211" s="175">
        <v>44372</v>
      </c>
      <c r="F211" s="37" t="s">
        <v>914</v>
      </c>
      <c r="G211" s="37" t="s">
        <v>1305</v>
      </c>
    </row>
    <row r="212" spans="2:7" ht="30" x14ac:dyDescent="0.25">
      <c r="B212" s="37" t="s">
        <v>41</v>
      </c>
      <c r="C212" s="37" t="s">
        <v>2118</v>
      </c>
      <c r="D212" s="14" t="s">
        <v>2495</v>
      </c>
      <c r="E212" s="175">
        <v>44375</v>
      </c>
      <c r="F212" s="37" t="s">
        <v>2496</v>
      </c>
      <c r="G212" s="37" t="s">
        <v>1301</v>
      </c>
    </row>
    <row r="213" spans="2:7" ht="30" x14ac:dyDescent="0.25">
      <c r="B213" s="37" t="s">
        <v>41</v>
      </c>
      <c r="C213" s="37" t="s">
        <v>203</v>
      </c>
      <c r="D213" s="14" t="s">
        <v>2498</v>
      </c>
      <c r="E213" s="175">
        <v>44375</v>
      </c>
      <c r="F213" s="37" t="s">
        <v>931</v>
      </c>
      <c r="G213" s="37" t="s">
        <v>1305</v>
      </c>
    </row>
    <row r="214" spans="2:7" ht="30" x14ac:dyDescent="0.25">
      <c r="B214" s="37" t="s">
        <v>41</v>
      </c>
      <c r="C214" s="37" t="s">
        <v>203</v>
      </c>
      <c r="D214" s="14" t="s">
        <v>2479</v>
      </c>
      <c r="E214" s="175">
        <v>44375</v>
      </c>
      <c r="F214" s="37" t="s">
        <v>914</v>
      </c>
      <c r="G214" s="37" t="s">
        <v>1305</v>
      </c>
    </row>
    <row r="215" spans="2:7" ht="30" x14ac:dyDescent="0.25">
      <c r="B215" s="37" t="s">
        <v>41</v>
      </c>
      <c r="C215" s="37" t="s">
        <v>212</v>
      </c>
      <c r="D215" s="43" t="s">
        <v>2107</v>
      </c>
      <c r="E215" s="175">
        <v>44375</v>
      </c>
      <c r="F215" s="37" t="s">
        <v>2292</v>
      </c>
      <c r="G215" s="37" t="s">
        <v>1301</v>
      </c>
    </row>
    <row r="216" spans="2:7" s="105" customFormat="1" ht="30" x14ac:dyDescent="0.25">
      <c r="B216" s="37" t="s">
        <v>41</v>
      </c>
      <c r="C216" s="37" t="s">
        <v>171</v>
      </c>
      <c r="D216" s="14" t="s">
        <v>2296</v>
      </c>
      <c r="E216" s="175">
        <v>44375</v>
      </c>
      <c r="F216" s="37" t="s">
        <v>979</v>
      </c>
      <c r="G216" s="37" t="s">
        <v>1301</v>
      </c>
    </row>
    <row r="217" spans="2:7" ht="30" x14ac:dyDescent="0.25">
      <c r="B217" s="37" t="s">
        <v>68</v>
      </c>
      <c r="C217" s="37" t="s">
        <v>911</v>
      </c>
      <c r="D217" s="14" t="s">
        <v>2479</v>
      </c>
      <c r="E217" s="175">
        <v>44375</v>
      </c>
      <c r="F217" s="37" t="s">
        <v>205</v>
      </c>
      <c r="G217" s="37" t="s">
        <v>2295</v>
      </c>
    </row>
    <row r="218" spans="2:7" ht="30" x14ac:dyDescent="0.25">
      <c r="B218" s="37" t="s">
        <v>68</v>
      </c>
      <c r="C218" s="37" t="s">
        <v>32</v>
      </c>
      <c r="D218" s="14" t="s">
        <v>2498</v>
      </c>
      <c r="E218" s="175">
        <v>44375</v>
      </c>
      <c r="F218" s="37" t="s">
        <v>201</v>
      </c>
      <c r="G218" s="37" t="s">
        <v>1301</v>
      </c>
    </row>
    <row r="219" spans="2:7" x14ac:dyDescent="0.25">
      <c r="B219" s="37" t="s">
        <v>41</v>
      </c>
      <c r="C219" s="37" t="s">
        <v>2118</v>
      </c>
      <c r="D219" s="14" t="s">
        <v>2506</v>
      </c>
      <c r="E219" s="175">
        <v>44375</v>
      </c>
      <c r="F219" s="37" t="s">
        <v>2505</v>
      </c>
      <c r="G219" s="37" t="s">
        <v>2507</v>
      </c>
    </row>
    <row r="220" spans="2:7" ht="30" x14ac:dyDescent="0.25">
      <c r="B220" s="37" t="s">
        <v>155</v>
      </c>
      <c r="C220" s="37" t="s">
        <v>1139</v>
      </c>
      <c r="D220" s="14" t="s">
        <v>2378</v>
      </c>
      <c r="E220" s="175">
        <v>44375</v>
      </c>
      <c r="F220" s="37" t="s">
        <v>1140</v>
      </c>
      <c r="G220" s="37" t="s">
        <v>2191</v>
      </c>
    </row>
    <row r="221" spans="2:7" x14ac:dyDescent="0.25">
      <c r="B221" s="37" t="s">
        <v>155</v>
      </c>
      <c r="C221" s="37" t="s">
        <v>194</v>
      </c>
      <c r="D221" s="14" t="s">
        <v>2282</v>
      </c>
      <c r="E221" s="175">
        <v>44375</v>
      </c>
      <c r="F221" s="37" t="s">
        <v>207</v>
      </c>
      <c r="G221" s="37" t="s">
        <v>1301</v>
      </c>
    </row>
    <row r="222" spans="2:7" ht="30" x14ac:dyDescent="0.25">
      <c r="B222" s="37" t="s">
        <v>155</v>
      </c>
      <c r="C222" s="37" t="s">
        <v>187</v>
      </c>
      <c r="D222" s="14" t="s">
        <v>2508</v>
      </c>
      <c r="E222" s="175">
        <v>44375</v>
      </c>
      <c r="F222" s="37" t="s">
        <v>1830</v>
      </c>
      <c r="G222" s="37" t="s">
        <v>1305</v>
      </c>
    </row>
    <row r="223" spans="2:7" ht="30" x14ac:dyDescent="0.25">
      <c r="B223" s="37" t="s">
        <v>50</v>
      </c>
      <c r="C223" s="37" t="s">
        <v>181</v>
      </c>
      <c r="D223" s="14" t="s">
        <v>2508</v>
      </c>
      <c r="E223" s="175">
        <v>44375</v>
      </c>
      <c r="F223" s="37" t="s">
        <v>2186</v>
      </c>
      <c r="G223" s="37" t="s">
        <v>1305</v>
      </c>
    </row>
    <row r="224" spans="2:7" ht="30" x14ac:dyDescent="0.25">
      <c r="B224" s="37" t="s">
        <v>50</v>
      </c>
      <c r="C224" s="37" t="s">
        <v>1267</v>
      </c>
      <c r="D224" s="14" t="s">
        <v>2495</v>
      </c>
      <c r="E224" s="175">
        <v>44375</v>
      </c>
      <c r="F224" s="37" t="s">
        <v>2190</v>
      </c>
      <c r="G224" s="37" t="s">
        <v>2507</v>
      </c>
    </row>
    <row r="225" spans="2:7" ht="30" x14ac:dyDescent="0.25">
      <c r="B225" s="37" t="s">
        <v>68</v>
      </c>
      <c r="C225" s="37" t="s">
        <v>911</v>
      </c>
      <c r="D225" s="14" t="s">
        <v>2296</v>
      </c>
      <c r="E225" s="175">
        <v>44375</v>
      </c>
      <c r="F225" s="37" t="s">
        <v>205</v>
      </c>
      <c r="G225" s="37" t="s">
        <v>2507</v>
      </c>
    </row>
    <row r="226" spans="2:7" ht="30" x14ac:dyDescent="0.25">
      <c r="B226" s="37" t="s">
        <v>68</v>
      </c>
      <c r="C226" s="37" t="s">
        <v>32</v>
      </c>
      <c r="D226" s="14" t="s">
        <v>2495</v>
      </c>
      <c r="E226" s="175">
        <v>44376</v>
      </c>
      <c r="F226" s="37" t="s">
        <v>201</v>
      </c>
      <c r="G226" s="37" t="s">
        <v>2540</v>
      </c>
    </row>
    <row r="227" spans="2:7" ht="30" x14ac:dyDescent="0.25">
      <c r="B227" s="37" t="s">
        <v>68</v>
      </c>
      <c r="C227" s="37" t="s">
        <v>933</v>
      </c>
      <c r="D227" s="14" t="s">
        <v>2542</v>
      </c>
      <c r="E227" s="175">
        <v>44376</v>
      </c>
      <c r="F227" s="37" t="s">
        <v>2308</v>
      </c>
      <c r="G227" s="37" t="s">
        <v>2507</v>
      </c>
    </row>
    <row r="228" spans="2:7" ht="30" x14ac:dyDescent="0.25">
      <c r="B228" s="37" t="s">
        <v>68</v>
      </c>
      <c r="C228" s="37" t="s">
        <v>2109</v>
      </c>
      <c r="D228" s="43" t="s">
        <v>2107</v>
      </c>
      <c r="E228" s="175">
        <v>44376</v>
      </c>
      <c r="F228" s="37" t="s">
        <v>2110</v>
      </c>
      <c r="G228" s="37" t="s">
        <v>2507</v>
      </c>
    </row>
    <row r="229" spans="2:7" ht="30" x14ac:dyDescent="0.25">
      <c r="B229" s="37" t="s">
        <v>68</v>
      </c>
      <c r="C229" s="37" t="s">
        <v>199</v>
      </c>
      <c r="D229" s="14" t="s">
        <v>2495</v>
      </c>
      <c r="E229" s="175">
        <v>44376</v>
      </c>
      <c r="F229" s="37" t="s">
        <v>200</v>
      </c>
      <c r="G229" s="37" t="s">
        <v>2507</v>
      </c>
    </row>
    <row r="230" spans="2:7" ht="30" x14ac:dyDescent="0.25">
      <c r="B230" s="37" t="s">
        <v>50</v>
      </c>
      <c r="C230" s="37" t="s">
        <v>2548</v>
      </c>
      <c r="D230" s="14" t="s">
        <v>2550</v>
      </c>
      <c r="E230" s="175">
        <v>44376</v>
      </c>
      <c r="F230" s="37" t="s">
        <v>2547</v>
      </c>
      <c r="G230" s="37" t="s">
        <v>2551</v>
      </c>
    </row>
    <row r="231" spans="2:7" ht="30" x14ac:dyDescent="0.25">
      <c r="B231" s="37" t="s">
        <v>50</v>
      </c>
      <c r="C231" s="37" t="s">
        <v>2549</v>
      </c>
      <c r="D231" s="14" t="s">
        <v>2550</v>
      </c>
      <c r="E231" s="175">
        <v>44376</v>
      </c>
      <c r="F231" s="37" t="s">
        <v>2116</v>
      </c>
      <c r="G231" s="37" t="s">
        <v>2551</v>
      </c>
    </row>
    <row r="232" spans="2:7" ht="30" x14ac:dyDescent="0.25">
      <c r="B232" s="37" t="s">
        <v>50</v>
      </c>
      <c r="C232" s="37" t="s">
        <v>1267</v>
      </c>
      <c r="D232" s="14" t="s">
        <v>2495</v>
      </c>
      <c r="E232" s="175">
        <v>44376</v>
      </c>
      <c r="F232" s="37" t="s">
        <v>2190</v>
      </c>
      <c r="G232" s="37" t="s">
        <v>2552</v>
      </c>
    </row>
    <row r="233" spans="2:7" ht="30" x14ac:dyDescent="0.25">
      <c r="B233" s="37" t="s">
        <v>50</v>
      </c>
      <c r="C233" s="37" t="s">
        <v>181</v>
      </c>
      <c r="D233" s="14" t="s">
        <v>2498</v>
      </c>
      <c r="E233" s="175">
        <v>44376</v>
      </c>
      <c r="F233" s="37" t="s">
        <v>2186</v>
      </c>
      <c r="G233" s="37" t="s">
        <v>2553</v>
      </c>
    </row>
    <row r="234" spans="2:7" ht="30" x14ac:dyDescent="0.25">
      <c r="B234" s="37" t="s">
        <v>50</v>
      </c>
      <c r="C234" s="37" t="s">
        <v>1267</v>
      </c>
      <c r="D234" s="14" t="s">
        <v>2498</v>
      </c>
      <c r="E234" s="175">
        <v>44376</v>
      </c>
      <c r="F234" s="37" t="s">
        <v>2266</v>
      </c>
      <c r="G234" s="37" t="s">
        <v>1305</v>
      </c>
    </row>
    <row r="235" spans="2:7" ht="30" x14ac:dyDescent="0.25">
      <c r="B235" s="37" t="s">
        <v>68</v>
      </c>
      <c r="C235" s="37" t="s">
        <v>167</v>
      </c>
      <c r="D235" s="14" t="s">
        <v>2498</v>
      </c>
      <c r="E235" s="175">
        <v>44376</v>
      </c>
      <c r="F235" s="37" t="s">
        <v>978</v>
      </c>
      <c r="G235" s="37" t="s">
        <v>1305</v>
      </c>
    </row>
    <row r="236" spans="2:7" x14ac:dyDescent="0.25">
      <c r="B236" s="37" t="s">
        <v>155</v>
      </c>
      <c r="C236" s="37" t="s">
        <v>1139</v>
      </c>
      <c r="D236" s="15" t="s">
        <v>2554</v>
      </c>
      <c r="E236" s="175">
        <v>44376</v>
      </c>
      <c r="F236" s="37" t="s">
        <v>1140</v>
      </c>
      <c r="G236" s="37" t="s">
        <v>2507</v>
      </c>
    </row>
    <row r="237" spans="2:7" ht="30" x14ac:dyDescent="0.25">
      <c r="B237" s="37" t="s">
        <v>155</v>
      </c>
      <c r="C237" s="37" t="s">
        <v>166</v>
      </c>
      <c r="D237" s="14" t="s">
        <v>2555</v>
      </c>
      <c r="E237" s="175">
        <v>44376</v>
      </c>
      <c r="F237" s="37" t="s">
        <v>2100</v>
      </c>
      <c r="G237" s="37" t="s">
        <v>2507</v>
      </c>
    </row>
    <row r="238" spans="2:7" ht="30" x14ac:dyDescent="0.25">
      <c r="B238" s="37" t="s">
        <v>155</v>
      </c>
      <c r="C238" s="37" t="s">
        <v>176</v>
      </c>
      <c r="D238" s="14" t="s">
        <v>2555</v>
      </c>
      <c r="E238" s="175">
        <v>44376</v>
      </c>
      <c r="F238" s="37" t="s">
        <v>973</v>
      </c>
      <c r="G238" s="37" t="s">
        <v>2507</v>
      </c>
    </row>
    <row r="239" spans="2:7" ht="30" x14ac:dyDescent="0.25">
      <c r="B239" s="37" t="s">
        <v>41</v>
      </c>
      <c r="C239" s="37" t="s">
        <v>910</v>
      </c>
      <c r="D239" s="14" t="s">
        <v>2498</v>
      </c>
      <c r="E239" s="175">
        <v>44376</v>
      </c>
      <c r="F239" s="37" t="s">
        <v>914</v>
      </c>
      <c r="G239" s="37" t="s">
        <v>1305</v>
      </c>
    </row>
    <row r="240" spans="2:7" ht="30" x14ac:dyDescent="0.25">
      <c r="B240" s="37" t="s">
        <v>41</v>
      </c>
      <c r="C240" s="37" t="s">
        <v>910</v>
      </c>
      <c r="D240" s="14" t="s">
        <v>2498</v>
      </c>
      <c r="E240" s="175">
        <v>44377</v>
      </c>
      <c r="F240" s="37" t="s">
        <v>914</v>
      </c>
      <c r="G240" s="37" t="s">
        <v>2283</v>
      </c>
    </row>
    <row r="241" spans="2:7" ht="30" x14ac:dyDescent="0.25">
      <c r="B241" s="37" t="s">
        <v>155</v>
      </c>
      <c r="C241" s="37" t="s">
        <v>176</v>
      </c>
      <c r="D241" s="14" t="s">
        <v>2555</v>
      </c>
      <c r="E241" s="175">
        <v>44377</v>
      </c>
      <c r="F241" s="37" t="s">
        <v>973</v>
      </c>
      <c r="G241" s="37" t="s">
        <v>2507</v>
      </c>
    </row>
    <row r="242" spans="2:7" ht="30" x14ac:dyDescent="0.25">
      <c r="B242" s="37" t="s">
        <v>155</v>
      </c>
      <c r="C242" s="37" t="s">
        <v>187</v>
      </c>
      <c r="D242" s="14" t="s">
        <v>2555</v>
      </c>
      <c r="E242" s="175">
        <v>44377</v>
      </c>
      <c r="F242" s="37" t="s">
        <v>1830</v>
      </c>
      <c r="G242" s="37" t="s">
        <v>2567</v>
      </c>
    </row>
    <row r="243" spans="2:7" ht="30" x14ac:dyDescent="0.25">
      <c r="B243" s="37" t="s">
        <v>50</v>
      </c>
      <c r="C243" s="37" t="s">
        <v>1267</v>
      </c>
      <c r="D243" s="14" t="s">
        <v>2498</v>
      </c>
      <c r="E243" s="175">
        <v>44377</v>
      </c>
      <c r="F243" s="37" t="s">
        <v>2266</v>
      </c>
      <c r="G243" s="37" t="s">
        <v>1305</v>
      </c>
    </row>
    <row r="244" spans="2:7" ht="30" x14ac:dyDescent="0.25">
      <c r="B244" s="37" t="s">
        <v>41</v>
      </c>
      <c r="C244" s="37" t="s">
        <v>910</v>
      </c>
      <c r="D244" s="14" t="s">
        <v>2498</v>
      </c>
      <c r="E244" s="175">
        <v>44377</v>
      </c>
      <c r="F244" s="37" t="s">
        <v>1349</v>
      </c>
      <c r="G244" s="37" t="s">
        <v>2567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"/>
  <sheetViews>
    <sheetView zoomScale="82" zoomScaleNormal="82" workbookViewId="0">
      <selection activeCell="D11" sqref="D11"/>
    </sheetView>
  </sheetViews>
  <sheetFormatPr baseColWidth="10" defaultRowHeight="15" x14ac:dyDescent="0.25"/>
  <cols>
    <col min="1" max="1" width="3.5703125" style="6" customWidth="1"/>
    <col min="2" max="2" width="4.28515625" style="6" customWidth="1"/>
    <col min="3" max="16384" width="11.42578125" style="6"/>
  </cols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975B-ED79-4CEB-844F-DE2ECE38DAF0}">
  <sheetPr codeName="Hoja7"/>
  <dimension ref="C1:I18"/>
  <sheetViews>
    <sheetView showGridLines="0" zoomScale="93" zoomScaleNormal="93" workbookViewId="0">
      <selection activeCell="C12" sqref="C12"/>
    </sheetView>
  </sheetViews>
  <sheetFormatPr baseColWidth="10" defaultRowHeight="15" x14ac:dyDescent="0.25"/>
  <cols>
    <col min="3" max="3" width="17" bestFit="1" customWidth="1"/>
    <col min="4" max="4" width="15.28515625" customWidth="1"/>
    <col min="5" max="5" width="16.5703125" customWidth="1"/>
    <col min="6" max="6" width="16.7109375" customWidth="1"/>
    <col min="7" max="7" width="19.85546875" customWidth="1"/>
    <col min="8" max="8" width="20.140625" customWidth="1"/>
    <col min="9" max="10" width="14.7109375" customWidth="1"/>
    <col min="12" max="12" width="14.5703125" customWidth="1"/>
  </cols>
  <sheetData>
    <row r="1" spans="3:9" s="105" customFormat="1" x14ac:dyDescent="0.25"/>
    <row r="2" spans="3:9" s="105" customFormat="1" x14ac:dyDescent="0.25"/>
    <row r="11" spans="3:9" x14ac:dyDescent="0.25">
      <c r="C11" s="221">
        <v>44375</v>
      </c>
    </row>
    <row r="12" spans="3:9" ht="48" thickBot="1" x14ac:dyDescent="0.3">
      <c r="C12" s="161" t="s">
        <v>11</v>
      </c>
      <c r="D12" s="162" t="s">
        <v>1622</v>
      </c>
      <c r="E12" s="162" t="s">
        <v>1623</v>
      </c>
      <c r="F12" s="162" t="s">
        <v>2152</v>
      </c>
      <c r="G12" s="163" t="s">
        <v>2153</v>
      </c>
      <c r="H12" s="163" t="s">
        <v>2154</v>
      </c>
      <c r="I12" s="163" t="s">
        <v>2155</v>
      </c>
    </row>
    <row r="13" spans="3:9" ht="15.75" x14ac:dyDescent="0.25">
      <c r="C13" s="112" t="s">
        <v>41</v>
      </c>
      <c r="D13" s="112">
        <f>COUNTIFS(VEND[Fecha de Envío
Cotización],'INDICADORES (D)'!$C$11,VEND[Vendedor],'INDICADORES (D)'!C13)</f>
        <v>0</v>
      </c>
      <c r="E13" s="112">
        <f>COUNTIFS(VEND[Fecha de Envío
Cotización],'INDICADORES (D)'!$C$11,VEND[Vendedor],'INDICADORES (D)'!C13,VEND[STATUS],"PERDIDO")</f>
        <v>0</v>
      </c>
      <c r="F13" s="112">
        <f>COUNTIFS(VEND[Vendedor],'INDICADORES (D)'!C13,VEND[Fecha Recibe
O.C],'INDICADORES (D)'!$C$11,VEND[STATUS],"O.C")</f>
        <v>0</v>
      </c>
      <c r="G13" s="154">
        <f>SUMIFS(VEND[Monto Cotizado
($/Unid)],VEND[Vendedor],'INDICADORES (D)'!C13,VEND[Fecha de Envío
Cotización],'INDICADORES (D)'!$C$11)</f>
        <v>0</v>
      </c>
      <c r="H13" s="154">
        <f>SUMIFS(VEND[Monto Cotizado
($/Unid)],VEND[Vendedor],'INDICADORES (D)'!C13,VEND[STATUS],"PERDIDO",VEND[Fecha de Envío
Cotización],'INDICADORES (D)'!$C$11)</f>
        <v>0</v>
      </c>
      <c r="I13" s="154">
        <f>SUMIFS(VEND[Monto Cotizado
($/Unid)],VEND[Vendedor],'INDICADORES (D)'!C13,VEND[STATUS],"O.C",VEND[Fecha Recibe
O.C],'INDICADORES (D)'!$C$11)</f>
        <v>0</v>
      </c>
    </row>
    <row r="14" spans="3:9" ht="15.75" x14ac:dyDescent="0.25">
      <c r="C14" s="112" t="s">
        <v>68</v>
      </c>
      <c r="D14" s="112">
        <f>COUNTIFS(VEND[Fecha de Envío
Cotización],'INDICADORES (D)'!$C$11,VEND[Vendedor],'INDICADORES (D)'!C14)</f>
        <v>3</v>
      </c>
      <c r="E14" s="112">
        <f>COUNTIFS(VEND[Fecha de Envío
Cotización],'INDICADORES (D)'!$C$11,VEND[Vendedor],'INDICADORES (D)'!C14,VEND[STATUS],"PERDIDO")</f>
        <v>0</v>
      </c>
      <c r="F14" s="112">
        <f>COUNTIFS(VEND[Vendedor],'INDICADORES (D)'!C14,VEND[Fecha Recibe
O.C],'INDICADORES (D)'!$C$11,VEND[STATUS],"O.C")</f>
        <v>0</v>
      </c>
      <c r="G14" s="154">
        <f>SUMIFS(VEND[Monto Cotizado
($/Unid)],VEND[Vendedor],'INDICADORES (D)'!C14,VEND[Fecha de Envío
Cotización],'INDICADORES (D)'!$C$11)</f>
        <v>4123.55</v>
      </c>
      <c r="H14" s="154">
        <f>SUMIFS(VEND[Monto Cotizado
($/Unid)],VEND[Vendedor],'INDICADORES (D)'!C14,VEND[STATUS],"PERDIDO",VEND[Fecha de Envío
Cotización],'INDICADORES (D)'!$C$11)</f>
        <v>0</v>
      </c>
      <c r="I14" s="154">
        <f>SUMIFS(VEND[Monto Cotizado
($/Unid)],VEND[Vendedor],'INDICADORES (D)'!C14,VEND[STATUS],"O.C",VEND[Fecha Recibe
O.C],'INDICADORES (D)'!$C$11)</f>
        <v>0</v>
      </c>
    </row>
    <row r="15" spans="3:9" ht="15.75" x14ac:dyDescent="0.25">
      <c r="C15" s="112" t="s">
        <v>1163</v>
      </c>
      <c r="D15" s="112">
        <f>COUNTIFS(VEND[Fecha de Envío
Cotización],'INDICADORES (D)'!$C$11,VEND[Vendedor],'INDICADORES (D)'!C15)</f>
        <v>0</v>
      </c>
      <c r="E15" s="112">
        <f>COUNTIFS(VEND[Fecha de Envío
Cotización],'INDICADORES (D)'!$C$11,VEND[Vendedor],'INDICADORES (D)'!C15,VEND[STATUS],"PERDIDO")</f>
        <v>0</v>
      </c>
      <c r="F15" s="112">
        <f>COUNTIFS(VEND[Vendedor],'INDICADORES (D)'!C15,VEND[Fecha Recibe
O.C],'INDICADORES (D)'!$C$11,VEND[STATUS],"O.C")</f>
        <v>0</v>
      </c>
      <c r="G15" s="154">
        <f>SUMIFS(VEND[Monto Cotizado
($/Unid)],VEND[Vendedor],'INDICADORES (D)'!C15,VEND[Fecha de Envío
Cotización],'INDICADORES (D)'!$C$11)</f>
        <v>0</v>
      </c>
      <c r="H15" s="154">
        <f>SUMIFS(VEND[Monto Cotizado
($/Unid)],VEND[Vendedor],'INDICADORES (D)'!C15,VEND[STATUS],"PERDIDO",VEND[Fecha de Envío
Cotización],'INDICADORES (D)'!$C$11)</f>
        <v>0</v>
      </c>
      <c r="I15" s="154">
        <f>SUMIFS(VEND[Monto Cotizado
($/Unid)],VEND[Vendedor],'INDICADORES (D)'!C15,VEND[STATUS],"O.C",VEND[Fecha Recibe
O.C],'INDICADORES (D)'!$C$11)</f>
        <v>0</v>
      </c>
    </row>
    <row r="16" spans="3:9" ht="15.75" x14ac:dyDescent="0.25">
      <c r="C16" s="112" t="s">
        <v>50</v>
      </c>
      <c r="D16" s="112">
        <f>COUNTIFS(VEND[Fecha de Envío
Cotización],'INDICADORES (D)'!$C$11,VEND[Vendedor],'INDICADORES (D)'!C16)</f>
        <v>4</v>
      </c>
      <c r="E16" s="112">
        <f>COUNTIFS(VEND[Fecha de Envío
Cotización],'INDICADORES (D)'!$C$11,VEND[Vendedor],'INDICADORES (D)'!C16,VEND[STATUS],"PERDIDO")</f>
        <v>0</v>
      </c>
      <c r="F16" s="112">
        <f>COUNTIFS(VEND[Vendedor],'INDICADORES (D)'!C16,VEND[Fecha Recibe
O.C],'INDICADORES (D)'!$C$11,VEND[STATUS],"O.C")</f>
        <v>0</v>
      </c>
      <c r="G16" s="154">
        <f>SUMIFS(VEND[Monto Cotizado
($/Unid)],VEND[Vendedor],'INDICADORES (D)'!C16,VEND[Fecha de Envío
Cotización],'INDICADORES (D)'!$C$11)</f>
        <v>11804.59</v>
      </c>
      <c r="H16" s="154">
        <f>SUMIFS(VEND[Monto Cotizado
($/Unid)],VEND[Vendedor],'INDICADORES (D)'!C16,VEND[STATUS],"PERDIDO",VEND[Fecha de Envío
Cotización],'INDICADORES (D)'!$C$11)</f>
        <v>0</v>
      </c>
      <c r="I16" s="154">
        <f>SUMIFS(VEND[Monto Cotizado
($/Unid)],VEND[Vendedor],'INDICADORES (D)'!C16,VEND[STATUS],"O.C",VEND[Fecha Recibe
O.C],'INDICADORES (D)'!$C$11)</f>
        <v>0</v>
      </c>
    </row>
    <row r="17" spans="3:9" ht="16.5" thickBot="1" x14ac:dyDescent="0.3">
      <c r="C17" s="150" t="s">
        <v>945</v>
      </c>
      <c r="D17" s="112">
        <f>COUNTIFS(VEND[Fecha de Envío
Cotización],'INDICADORES (D)'!$C$11,VEND[Vendedor],'INDICADORES (D)'!C17)</f>
        <v>2</v>
      </c>
      <c r="E17" s="112">
        <f>COUNTIFS(VEND[Fecha de Envío
Cotización],'INDICADORES (D)'!$C$11,VEND[Vendedor],'INDICADORES (D)'!C17,VEND[STATUS],"PERDIDO")</f>
        <v>0</v>
      </c>
      <c r="F17" s="112">
        <f>COUNTIFS(VEND[Vendedor],'INDICADORES (D)'!C17,VEND[Fecha Recibe
O.C],'INDICADORES (D)'!$C$11,VEND[STATUS],"O.C")</f>
        <v>2</v>
      </c>
      <c r="G17" s="154">
        <f>SUMIFS(VEND[Monto Cotizado
($/Unid)],VEND[Vendedor],'INDICADORES (D)'!C17,VEND[Fecha de Envío
Cotización],'INDICADORES (D)'!$C$11)</f>
        <v>88100</v>
      </c>
      <c r="H17" s="154">
        <f>SUMIFS(VEND[Monto Cotizado
($/Unid)],VEND[Vendedor],'INDICADORES (D)'!C17,VEND[STATUS],"PERDIDO",VEND[Fecha de Envío
Cotización],'INDICADORES (D)'!$C$11)</f>
        <v>0</v>
      </c>
      <c r="I17" s="154">
        <f>SUMIFS(VEND[Monto Cotizado
($/Unid)],VEND[Vendedor],'INDICADORES (D)'!C17,VEND[STATUS],"O.C",VEND[Fecha Recibe
O.C],'INDICADORES (D)'!$C$11)</f>
        <v>39001.199999999997</v>
      </c>
    </row>
    <row r="18" spans="3:9" ht="16.5" thickBot="1" x14ac:dyDescent="0.3">
      <c r="C18" s="151" t="s">
        <v>1614</v>
      </c>
      <c r="D18" s="151">
        <f>SUM(D13:D17)</f>
        <v>9</v>
      </c>
      <c r="E18" s="151">
        <f>SUM(E13:E17)</f>
        <v>0</v>
      </c>
      <c r="F18" s="151">
        <f t="shared" ref="F18:I18" si="0">SUM(F13:F17)</f>
        <v>2</v>
      </c>
      <c r="G18" s="155">
        <f t="shared" si="0"/>
        <v>104028.14</v>
      </c>
      <c r="H18" s="155">
        <f t="shared" si="0"/>
        <v>0</v>
      </c>
      <c r="I18" s="155">
        <f t="shared" si="0"/>
        <v>39001.199999999997</v>
      </c>
    </row>
  </sheetData>
  <pageMargins left="0.7" right="0.7" top="0.75" bottom="0.75" header="0.3" footer="0.3"/>
  <pageSetup paperSize="9" scale="54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2:K29"/>
  <sheetViews>
    <sheetView showGridLines="0" zoomScale="106" zoomScaleNormal="106" workbookViewId="0">
      <selection activeCell="H21" sqref="H21"/>
    </sheetView>
  </sheetViews>
  <sheetFormatPr baseColWidth="10" defaultRowHeight="15" x14ac:dyDescent="0.25"/>
  <cols>
    <col min="2" max="2" width="17" style="110" bestFit="1" customWidth="1"/>
    <col min="3" max="3" width="15.42578125" style="110" bestFit="1" customWidth="1"/>
    <col min="4" max="4" width="14.5703125" style="110" customWidth="1"/>
    <col min="5" max="5" width="15.7109375" style="110" customWidth="1"/>
    <col min="6" max="6" width="16.7109375" style="153" customWidth="1"/>
    <col min="7" max="7" width="17.28515625" style="153" customWidth="1"/>
    <col min="8" max="8" width="18.42578125" style="153" customWidth="1"/>
    <col min="9" max="9" width="13" style="153" bestFit="1" customWidth="1"/>
    <col min="10" max="10" width="15.85546875" style="153" customWidth="1"/>
    <col min="11" max="11" width="16.28515625" style="156" customWidth="1"/>
    <col min="14" max="14" width="14.28515625" bestFit="1" customWidth="1"/>
  </cols>
  <sheetData>
    <row r="2" spans="1:11" s="105" customFormat="1" x14ac:dyDescent="0.25">
      <c r="B2" s="110"/>
      <c r="C2" s="110"/>
      <c r="D2" s="110"/>
      <c r="E2" s="110"/>
      <c r="F2" s="153"/>
      <c r="G2" s="153"/>
      <c r="H2" s="153"/>
      <c r="I2" s="153"/>
      <c r="J2" s="153"/>
      <c r="K2" s="156"/>
    </row>
    <row r="3" spans="1:11" s="105" customFormat="1" x14ac:dyDescent="0.25">
      <c r="B3" s="110"/>
      <c r="C3" s="110"/>
      <c r="D3" s="110"/>
      <c r="E3" s="110"/>
      <c r="F3" s="153"/>
      <c r="G3" s="153"/>
      <c r="H3" s="153"/>
      <c r="I3" s="153"/>
      <c r="J3" s="153"/>
      <c r="K3" s="156"/>
    </row>
    <row r="4" spans="1:11" s="105" customFormat="1" x14ac:dyDescent="0.25">
      <c r="B4" s="110"/>
      <c r="C4" s="110"/>
      <c r="D4" s="110"/>
      <c r="E4" s="110"/>
      <c r="F4" s="153"/>
      <c r="G4" s="153"/>
      <c r="H4" s="153"/>
      <c r="I4" s="153"/>
      <c r="J4" s="153"/>
      <c r="K4" s="156"/>
    </row>
    <row r="5" spans="1:11" s="105" customFormat="1" x14ac:dyDescent="0.25">
      <c r="B5" s="110"/>
      <c r="C5" s="110"/>
      <c r="D5" s="110"/>
      <c r="E5" s="110"/>
      <c r="F5" s="153"/>
      <c r="G5" s="153"/>
      <c r="H5" s="153"/>
      <c r="I5" s="153"/>
      <c r="J5" s="153"/>
      <c r="K5" s="156"/>
    </row>
    <row r="6" spans="1:11" s="105" customFormat="1" x14ac:dyDescent="0.25">
      <c r="B6" s="110"/>
      <c r="C6" s="110"/>
      <c r="D6" s="110"/>
      <c r="E6" s="110"/>
      <c r="F6" s="153"/>
      <c r="G6" s="153"/>
      <c r="H6" s="153"/>
      <c r="I6" s="153"/>
      <c r="J6" s="153"/>
      <c r="K6" s="156"/>
    </row>
    <row r="7" spans="1:11" s="105" customFormat="1" x14ac:dyDescent="0.25">
      <c r="B7" s="110"/>
      <c r="C7" s="110"/>
      <c r="D7" s="110"/>
      <c r="E7" s="110"/>
      <c r="F7" s="153"/>
      <c r="G7" s="153"/>
      <c r="H7" s="153"/>
      <c r="I7" s="153"/>
      <c r="J7" s="153"/>
      <c r="K7" s="156"/>
    </row>
    <row r="8" spans="1:11" s="95" customFormat="1" ht="18.75" x14ac:dyDescent="0.3">
      <c r="B8" s="152" t="s">
        <v>1652</v>
      </c>
      <c r="C8" s="152"/>
      <c r="D8" s="152"/>
      <c r="E8" s="103"/>
      <c r="F8" s="193"/>
      <c r="G8" s="193"/>
      <c r="H8" s="193"/>
      <c r="I8" s="193"/>
      <c r="J8" s="193"/>
      <c r="K8" s="194"/>
    </row>
    <row r="9" spans="1:11" s="160" customFormat="1" ht="63.75" thickBot="1" x14ac:dyDescent="0.3">
      <c r="B9" s="161" t="s">
        <v>11</v>
      </c>
      <c r="C9" s="162" t="s">
        <v>1622</v>
      </c>
      <c r="D9" s="162" t="s">
        <v>1623</v>
      </c>
      <c r="E9" s="162" t="s">
        <v>1800</v>
      </c>
      <c r="F9" s="163" t="s">
        <v>1628</v>
      </c>
      <c r="G9" s="163" t="s">
        <v>1627</v>
      </c>
      <c r="H9" s="163" t="s">
        <v>1629</v>
      </c>
      <c r="I9" s="163" t="s">
        <v>1660</v>
      </c>
      <c r="J9" s="163" t="s">
        <v>1630</v>
      </c>
      <c r="K9" s="164" t="s">
        <v>1625</v>
      </c>
    </row>
    <row r="10" spans="1:11" s="4" customFormat="1" ht="15.75" x14ac:dyDescent="0.25">
      <c r="A10" s="241"/>
      <c r="B10" s="112" t="s">
        <v>41</v>
      </c>
      <c r="C10" s="112">
        <f>COUNTIFS(VEND[Mes
Cotizacion],'INDICADORES (M)'!$B$8,VEND[Vendedor],'INDICADORES (M)'!B10)+COUNTIFS(VEND[Mes
Cotizacion],'INDICADORES (M)'!$C$8,VEND[Vendedor],'INDICADORES (M)'!B10)+COUNTIFS(VEND[Mes
Cotizacion],'INDICADORES (M)'!$D$8,VEND[Vendedor],'INDICADORES (M)'!B10)</f>
        <v>24</v>
      </c>
      <c r="D10" s="112">
        <f>COUNTIFS(VEND[Mes
Cotizacion],'INDICADORES (M)'!$B$8,VEND[Vendedor],'INDICADORES (M)'!B10,VEND[STATUS],"PERDIDO")+COUNTIFS(VEND[Mes
Cotizacion],'INDICADORES (M)'!$C$8,VEND[Vendedor],'INDICADORES (M)'!B10,VEND[STATUS],"PERDIDO")+COUNTIFS(VEND[Mes
Cotizacion],'INDICADORES (M)'!$D$8,VEND[Vendedor],'INDICADORES (M)'!B10,VEND[STATUS],"PERDIDO")</f>
        <v>4</v>
      </c>
      <c r="E10" s="112">
        <f>COUNTIFS(VEND[Vendedor],'INDICADORES (M)'!B10,VEND[Mes
O.C],'INDICADORES (M)'!$B$8,VEND[STATUS],"O.C")+COUNTIFS(VEND[Vendedor],'INDICADORES (M)'!B10,VEND[Mes
O.C],'INDICADORES (M)'!$C$8,VEND[STATUS],"O.C")+COUNTIFS(VEND[Vendedor],'INDICADORES (M)'!B10,VEND[Mes
O.C],'INDICADORES (M)'!$D$8,VEND[STATUS],"O.C")</f>
        <v>5</v>
      </c>
      <c r="F10" s="154">
        <f>SUMIFS(VEND[Monto Cotizado
($/Unid)],VEND[Mes
Cotizacion],'INDICADORES (M)'!$B$8,VEND[Vendedor],'INDICADORES (M)'!B10)+SUMIFS(VEND[Monto Cotizado
($/Unid)],VEND[Mes
Cotizacion],'INDICADORES (M)'!$C$8,VEND[Vendedor],'INDICADORES (M)'!B10)+SUMIFS(VEND[Monto Cotizado
($/Unid)],VEND[Mes
Cotizacion],'INDICADORES (M)'!$D$8,VEND[Vendedor],'INDICADORES (M)'!B10)</f>
        <v>57235.07</v>
      </c>
      <c r="G10" s="154">
        <f>SUMIFS(VEND[Monto Cotizado
($/Unid)],VEND[Mes
Cotizacion],'INDICADORES (M)'!$B$8,VEND[Vendedor],'INDICADORES (M)'!B10,VEND[STATUS],"PERDIDO")+SUMIFS(VEND[Monto Cotizado
($/Unid)],VEND[Mes
Cotizacion],'INDICADORES (M)'!$C$8,VEND[Vendedor],'INDICADORES (M)'!B10,VEND[STATUS],"PERDIDO")+SUMIFS(VEND[Monto Cotizado
($/Unid)],VEND[Mes
Cotizacion],'INDICADORES (M)'!$D$8,VEND[Vendedor],'INDICADORES (M)'!B10,VEND[STATUS],"PERDIDO")</f>
        <v>13573.269999999999</v>
      </c>
      <c r="H10" s="154">
        <f>SUMIFS(VEND[Monto Cotizado
($/Unid)],VEND[Mes
O.C],'INDICADORES (M)'!$B$8,VEND[Vendedor],'INDICADORES (M)'!B10,VEND[STATUS],"O.C")+SUMIFS(VEND[Monto Cotizado
($/Unid)],VEND[Mes
O.C],'INDICADORES (M)'!$C$8,VEND[Vendedor],'INDICADORES (M)'!B10,VEND[STATUS],"O.C")+SUMIFS(VEND[Monto Cotizado
($/Unid)],VEND[Mes
O.C],'INDICADORES (M)'!$D$8,VEND[Vendedor],'INDICADORES (M)'!B10,VEND[STATUS],"O.C")</f>
        <v>2331.67</v>
      </c>
      <c r="I10" s="154">
        <f>IFERROR(AVERAGEIFS(VEND[Monto Cotizado
($/Unid)],VEND[Mes
Cotizacion],'INDICADORES (M)'!$B$8,VEND[Vendedor],'INDICADORES (M)'!B10),0)</f>
        <v>2384.7945833333333</v>
      </c>
      <c r="J10" s="154">
        <f>INDEX(Metas!$B$2:$N$9,MATCH('INDICADORES (M)'!B10,Metas!$B$2:$B$9,0),MATCH('INDICADORES (M)'!$B$8,Metas!$B$2:$N$2,0))</f>
        <v>15000</v>
      </c>
      <c r="K10" s="157">
        <f t="shared" ref="K10:K15" si="0">IFERROR(H10/J10,0)</f>
        <v>0.15544466666666668</v>
      </c>
    </row>
    <row r="11" spans="1:11" s="4" customFormat="1" ht="15.75" x14ac:dyDescent="0.25">
      <c r="A11" s="241"/>
      <c r="B11" s="112" t="s">
        <v>68</v>
      </c>
      <c r="C11" s="112">
        <f>COUNTIFS(VEND[Mes
Cotizacion],'INDICADORES (M)'!$B$8,VEND[Vendedor],'INDICADORES (M)'!B11)+COUNTIFS(VEND[Mes
Cotizacion],'INDICADORES (M)'!$C$8,VEND[Vendedor],'INDICADORES (M)'!B11)+COUNTIFS(VEND[Mes
Cotizacion],'INDICADORES (M)'!$D$8,VEND[Vendedor],'INDICADORES (M)'!B11)</f>
        <v>25</v>
      </c>
      <c r="D11" s="112">
        <f>COUNTIFS(VEND[Mes
Cotizacion],'INDICADORES (M)'!$B$8,VEND[Vendedor],'INDICADORES (M)'!B11,VEND[STATUS],"PERDIDO")+COUNTIFS(VEND[Mes
Cotizacion],'INDICADORES (M)'!$C$8,VEND[Vendedor],'INDICADORES (M)'!B11,VEND[STATUS],"PERDIDO")+COUNTIFS(VEND[Mes
Cotizacion],'INDICADORES (M)'!$D$8,VEND[Vendedor],'INDICADORES (M)'!B11,VEND[STATUS],"PERDIDO")</f>
        <v>1</v>
      </c>
      <c r="E11" s="112">
        <f>COUNTIFS(VEND[Vendedor],'INDICADORES (M)'!B11,VEND[Mes
O.C],'INDICADORES (M)'!$B$8,VEND[STATUS],"O.C")+COUNTIFS(VEND[Vendedor],'INDICADORES (M)'!B11,VEND[Mes
O.C],'INDICADORES (M)'!$C$8,VEND[STATUS],"O.C")+COUNTIFS(VEND[Vendedor],'INDICADORES (M)'!B11,VEND[Mes
O.C],'INDICADORES (M)'!$D$8,VEND[STATUS],"O.C")</f>
        <v>5</v>
      </c>
      <c r="F11" s="154">
        <f>SUMIFS(VEND[Monto Cotizado
($/Unid)],VEND[Mes
Cotizacion],'INDICADORES (M)'!$B$8,VEND[Vendedor],'INDICADORES (M)'!B11)+SUMIFS(VEND[Monto Cotizado
($/Unid)],VEND[Mes
Cotizacion],'INDICADORES (M)'!$C$8,VEND[Vendedor],'INDICADORES (M)'!B11)+SUMIFS(VEND[Monto Cotizado
($/Unid)],VEND[Mes
Cotizacion],'INDICADORES (M)'!$D$8,VEND[Vendedor],'INDICADORES (M)'!B11)</f>
        <v>70512.62000000001</v>
      </c>
      <c r="G11" s="154">
        <f>SUMIFS(VEND[Monto Cotizado
($/Unid)],VEND[Mes
Cotizacion],'INDICADORES (M)'!$B$8,VEND[Vendedor],'INDICADORES (M)'!B11,VEND[STATUS],"PERDIDO")+SUMIFS(VEND[Monto Cotizado
($/Unid)],VEND[Mes
Cotizacion],'INDICADORES (M)'!$C$8,VEND[Vendedor],'INDICADORES (M)'!B11,VEND[STATUS],"PERDIDO")+SUMIFS(VEND[Monto Cotizado
($/Unid)],VEND[Mes
Cotizacion],'INDICADORES (M)'!$D$8,VEND[Vendedor],'INDICADORES (M)'!B11,VEND[STATUS],"PERDIDO")</f>
        <v>9530.1</v>
      </c>
      <c r="H11" s="154">
        <f>SUMIFS(VEND[Monto Cotizado
($/Unid)],VEND[Mes
O.C],'INDICADORES (M)'!$B$8,VEND[Vendedor],'INDICADORES (M)'!B11,VEND[STATUS],"O.C")+SUMIFS(VEND[Monto Cotizado
($/Unid)],VEND[Mes
O.C],'INDICADORES (M)'!$C$8,VEND[Vendedor],'INDICADORES (M)'!B11,VEND[STATUS],"O.C")+SUMIFS(VEND[Monto Cotizado
($/Unid)],VEND[Mes
O.C],'INDICADORES (M)'!$D$8,VEND[Vendedor],'INDICADORES (M)'!B11,VEND[STATUS],"O.C")</f>
        <v>8192.380000000001</v>
      </c>
      <c r="I11" s="154">
        <f>IFERROR(AVERAGEIFS(VEND[Monto Cotizado
($/Unid)],VEND[Mes
Cotizacion],'INDICADORES (M)'!$B$8,VEND[Vendedor],'INDICADORES (M)'!B11),0)</f>
        <v>2820.5048000000006</v>
      </c>
      <c r="J11" s="154">
        <f>INDEX(Metas!$B$2:$N$9,MATCH('INDICADORES (M)'!B11,Metas!$B$2:$B$9,0),MATCH('INDICADORES (M)'!$B$8,Metas!$B$2:$N$2,0))</f>
        <v>15000</v>
      </c>
      <c r="K11" s="157">
        <f t="shared" si="0"/>
        <v>0.54615866666666668</v>
      </c>
    </row>
    <row r="12" spans="1:11" s="4" customFormat="1" ht="15.75" x14ac:dyDescent="0.25">
      <c r="A12" s="241"/>
      <c r="B12" s="112" t="s">
        <v>1163</v>
      </c>
      <c r="C12" s="112">
        <f>COUNTIFS(VEND[Mes
Cotizacion],'INDICADORES (M)'!$B$8,VEND[Vendedor],'INDICADORES (M)'!B12)+COUNTIFS(VEND[Mes
Cotizacion],'INDICADORES (M)'!$C$8,VEND[Vendedor],'INDICADORES (M)'!B12)+COUNTIFS(VEND[Mes
Cotizacion],'INDICADORES (M)'!$D$8,VEND[Vendedor],'INDICADORES (M)'!B12)</f>
        <v>39</v>
      </c>
      <c r="D12" s="112">
        <f>COUNTIFS(VEND[Mes
Cotizacion],'INDICADORES (M)'!$B$8,VEND[Vendedor],'INDICADORES (M)'!B12,VEND[STATUS],"PERDIDO")+COUNTIFS(VEND[Mes
Cotizacion],'INDICADORES (M)'!$C$8,VEND[Vendedor],'INDICADORES (M)'!B12,VEND[STATUS],"PERDIDO")+COUNTIFS(VEND[Mes
Cotizacion],'INDICADORES (M)'!$D$8,VEND[Vendedor],'INDICADORES (M)'!B12,VEND[STATUS],"PERDIDO")</f>
        <v>0</v>
      </c>
      <c r="E12" s="112">
        <f>COUNTIFS(VEND[Vendedor],'INDICADORES (M)'!B12,VEND[Mes
O.C],'INDICADORES (M)'!$B$8,VEND[STATUS],"O.C")+COUNTIFS(VEND[Vendedor],'INDICADORES (M)'!B12,VEND[Mes
O.C],'INDICADORES (M)'!$C$8,VEND[STATUS],"O.C")+COUNTIFS(VEND[Vendedor],'INDICADORES (M)'!B12,VEND[Mes
O.C],'INDICADORES (M)'!$D$8,VEND[STATUS],"O.C")</f>
        <v>17</v>
      </c>
      <c r="F12" s="154">
        <f>SUMIFS(VEND[Monto Cotizado
($/Unid)],VEND[Mes
Cotizacion],'INDICADORES (M)'!$B$8,VEND[Vendedor],'INDICADORES (M)'!B12)+SUMIFS(VEND[Monto Cotizado
($/Unid)],VEND[Mes
Cotizacion],'INDICADORES (M)'!$C$8,VEND[Vendedor],'INDICADORES (M)'!B12)+SUMIFS(VEND[Monto Cotizado
($/Unid)],VEND[Mes
Cotizacion],'INDICADORES (M)'!$D$8,VEND[Vendedor],'INDICADORES (M)'!B12)</f>
        <v>425309.29999999993</v>
      </c>
      <c r="G12" s="154">
        <f>SUMIFS(VEND[Monto Cotizado
($/Unid)],VEND[Mes
Cotizacion],'INDICADORES (M)'!$B$8,VEND[Vendedor],'INDICADORES (M)'!B12,VEND[STATUS],"PERDIDO")+SUMIFS(VEND[Monto Cotizado
($/Unid)],VEND[Mes
Cotizacion],'INDICADORES (M)'!$C$8,VEND[Vendedor],'INDICADORES (M)'!B12,VEND[STATUS],"PERDIDO")+SUMIFS(VEND[Monto Cotizado
($/Unid)],VEND[Mes
Cotizacion],'INDICADORES (M)'!$D$8,VEND[Vendedor],'INDICADORES (M)'!B12,VEND[STATUS],"PERDIDO")</f>
        <v>0</v>
      </c>
      <c r="H12" s="154">
        <f>SUMIFS(VEND[Monto Cotizado
($/Unid)],VEND[Mes
O.C],'INDICADORES (M)'!$B$8,VEND[Vendedor],'INDICADORES (M)'!B12,VEND[STATUS],"O.C")+SUMIFS(VEND[Monto Cotizado
($/Unid)],VEND[Mes
O.C],'INDICADORES (M)'!$C$8,VEND[Vendedor],'INDICADORES (M)'!B12,VEND[STATUS],"O.C")+SUMIFS(VEND[Monto Cotizado
($/Unid)],VEND[Mes
O.C],'INDICADORES (M)'!$D$8,VEND[Vendedor],'INDICADORES (M)'!B12,VEND[STATUS],"O.C")</f>
        <v>88951.57</v>
      </c>
      <c r="I12" s="154">
        <f>IFERROR(AVERAGEIFS(VEND[Monto Cotizado
($/Unid)],VEND[Mes
Cotizacion],'INDICADORES (M)'!$B$8,VEND[Vendedor],'INDICADORES (M)'!B12),0)</f>
        <v>10905.366666666665</v>
      </c>
      <c r="J12" s="154">
        <f>INDEX(Metas!$B$2:$N$9,MATCH('INDICADORES (M)'!B12,Metas!$B$2:$B$9,0),MATCH('INDICADORES (M)'!$B$8,Metas!$B$2:$N$2,0))</f>
        <v>110000</v>
      </c>
      <c r="K12" s="157">
        <f t="shared" si="0"/>
        <v>0.80865063636363643</v>
      </c>
    </row>
    <row r="13" spans="1:11" s="4" customFormat="1" ht="15.75" x14ac:dyDescent="0.25">
      <c r="A13" s="241"/>
      <c r="B13" s="112" t="s">
        <v>944</v>
      </c>
      <c r="C13" s="112">
        <f>COUNTIFS(VEND[Mes
Cotizacion],'INDICADORES (M)'!$B$8,VEND[Vendedor],'INDICADORES (M)'!B13)+COUNTIFS(VEND[Mes
Cotizacion],'INDICADORES (M)'!$C$8,VEND[Vendedor],'INDICADORES (M)'!B13)+COUNTIFS(VEND[Mes
Cotizacion],'INDICADORES (M)'!$D$8,VEND[Vendedor],'INDICADORES (M)'!B13)</f>
        <v>0</v>
      </c>
      <c r="D13" s="112">
        <f>COUNTIFS(VEND[Mes
Cotizacion],'INDICADORES (M)'!$B$8,VEND[Vendedor],'INDICADORES (M)'!B13,VEND[STATUS],"PERDIDO")+COUNTIFS(VEND[Mes
Cotizacion],'INDICADORES (M)'!$C$8,VEND[Vendedor],'INDICADORES (M)'!B13,VEND[STATUS],"PERDIDO")+COUNTIFS(VEND[Mes
Cotizacion],'INDICADORES (M)'!$D$8,VEND[Vendedor],'INDICADORES (M)'!B13,VEND[STATUS],"PERDIDO")</f>
        <v>0</v>
      </c>
      <c r="E13" s="112">
        <f>COUNTIFS(VEND[Vendedor],'INDICADORES (M)'!B13,VEND[Mes
O.C],'INDICADORES (M)'!$B$8,VEND[STATUS],"O.C")+COUNTIFS(VEND[Vendedor],'INDICADORES (M)'!B13,VEND[Mes
O.C],'INDICADORES (M)'!$C$8,VEND[STATUS],"O.C")+COUNTIFS(VEND[Vendedor],'INDICADORES (M)'!B13,VEND[Mes
O.C],'INDICADORES (M)'!$D$8,VEND[STATUS],"O.C")</f>
        <v>0</v>
      </c>
      <c r="F13" s="154">
        <f>SUMIFS(VEND[Monto Cotizado
($/Unid)],VEND[Mes
Cotizacion],'INDICADORES (M)'!$B$8,VEND[Vendedor],'INDICADORES (M)'!B13)+SUMIFS(VEND[Monto Cotizado
($/Unid)],VEND[Mes
Cotizacion],'INDICADORES (M)'!$C$8,VEND[Vendedor],'INDICADORES (M)'!B13)+SUMIFS(VEND[Monto Cotizado
($/Unid)],VEND[Mes
Cotizacion],'INDICADORES (M)'!$D$8,VEND[Vendedor],'INDICADORES (M)'!B13)</f>
        <v>0</v>
      </c>
      <c r="G13" s="154">
        <f>SUMIFS(VEND[Monto Cotizado
($/Unid)],VEND[Mes
Cotizacion],'INDICADORES (M)'!$B$8,VEND[Vendedor],'INDICADORES (M)'!B13,VEND[STATUS],"PERDIDO")+SUMIFS(VEND[Monto Cotizado
($/Unid)],VEND[Mes
Cotizacion],'INDICADORES (M)'!$C$8,VEND[Vendedor],'INDICADORES (M)'!B13,VEND[STATUS],"PERDIDO")+SUMIFS(VEND[Monto Cotizado
($/Unid)],VEND[Mes
Cotizacion],'INDICADORES (M)'!$D$8,VEND[Vendedor],'INDICADORES (M)'!B13,VEND[STATUS],"PERDIDO")</f>
        <v>0</v>
      </c>
      <c r="H13" s="154">
        <f>SUMIFS(VEND[Monto Cotizado
($/Unid)],VEND[Mes
O.C],'INDICADORES (M)'!$B$8,VEND[Vendedor],'INDICADORES (M)'!B13,VEND[STATUS],"O.C")+SUMIFS(VEND[Monto Cotizado
($/Unid)],VEND[Mes
O.C],'INDICADORES (M)'!$C$8,VEND[Vendedor],'INDICADORES (M)'!B13,VEND[STATUS],"O.C")+SUMIFS(VEND[Monto Cotizado
($/Unid)],VEND[Mes
O.C],'INDICADORES (M)'!$D$8,VEND[Vendedor],'INDICADORES (M)'!B13,VEND[STATUS],"O.C")</f>
        <v>0</v>
      </c>
      <c r="I13" s="154">
        <f>IFERROR(AVERAGEIFS(VEND[Monto Cotizado
($/Unid)],VEND[Mes
Cotizacion],'INDICADORES (M)'!$B$8,VEND[Vendedor],'INDICADORES (M)'!B13),0)</f>
        <v>0</v>
      </c>
      <c r="J13" s="154">
        <f>INDEX(Metas!$B$2:$N$9,MATCH('INDICADORES (M)'!B13,Metas!$B$2:$B$9,0),MATCH('INDICADORES (M)'!$B$8,Metas!$B$2:$N$2,0))</f>
        <v>0</v>
      </c>
      <c r="K13" s="157">
        <f t="shared" si="0"/>
        <v>0</v>
      </c>
    </row>
    <row r="14" spans="1:11" s="4" customFormat="1" ht="15.75" x14ac:dyDescent="0.25">
      <c r="A14" s="241"/>
      <c r="B14" s="112" t="s">
        <v>50</v>
      </c>
      <c r="C14" s="112">
        <f>COUNTIFS(VEND[Mes
Cotizacion],'INDICADORES (M)'!$B$8,VEND[Vendedor],'INDICADORES (M)'!B14)+COUNTIFS(VEND[Mes
Cotizacion],'INDICADORES (M)'!$C$8,VEND[Vendedor],'INDICADORES (M)'!B14)+COUNTIFS(VEND[Mes
Cotizacion],'INDICADORES (M)'!$D$8,VEND[Vendedor],'INDICADORES (M)'!B14)</f>
        <v>45</v>
      </c>
      <c r="D14" s="112">
        <f>COUNTIFS(VEND[Mes
Cotizacion],'INDICADORES (M)'!$B$8,VEND[Vendedor],'INDICADORES (M)'!B14,VEND[STATUS],"PERDIDO")+COUNTIFS(VEND[Mes
Cotizacion],'INDICADORES (M)'!$C$8,VEND[Vendedor],'INDICADORES (M)'!B14,VEND[STATUS],"PERDIDO")+COUNTIFS(VEND[Mes
Cotizacion],'INDICADORES (M)'!$D$8,VEND[Vendedor],'INDICADORES (M)'!B14,VEND[STATUS],"PERDIDO")</f>
        <v>1</v>
      </c>
      <c r="E14" s="112">
        <f>COUNTIFS(VEND[Vendedor],'INDICADORES (M)'!B14,VEND[Mes
O.C],'INDICADORES (M)'!$B$8,VEND[STATUS],"O.C")+COUNTIFS(VEND[Vendedor],'INDICADORES (M)'!B14,VEND[Mes
O.C],'INDICADORES (M)'!$C$8,VEND[STATUS],"O.C")+COUNTIFS(VEND[Vendedor],'INDICADORES (M)'!B14,VEND[Mes
O.C],'INDICADORES (M)'!$D$8,VEND[STATUS],"O.C")</f>
        <v>7</v>
      </c>
      <c r="F14" s="154">
        <f>SUMIFS(VEND[Monto Cotizado
($/Unid)],VEND[Mes
Cotizacion],'INDICADORES (M)'!$B$8,VEND[Vendedor],'INDICADORES (M)'!B14)+SUMIFS(VEND[Monto Cotizado
($/Unid)],VEND[Mes
Cotizacion],'INDICADORES (M)'!$C$8,VEND[Vendedor],'INDICADORES (M)'!B14)+SUMIFS(VEND[Monto Cotizado
($/Unid)],VEND[Mes
Cotizacion],'INDICADORES (M)'!$D$8,VEND[Vendedor],'INDICADORES (M)'!B14)</f>
        <v>195013.14000000004</v>
      </c>
      <c r="G14" s="154">
        <f>SUMIFS(VEND[Monto Cotizado
($/Unid)],VEND[Mes
Cotizacion],'INDICADORES (M)'!$B$8,VEND[Vendedor],'INDICADORES (M)'!B14,VEND[STATUS],"PERDIDO")+SUMIFS(VEND[Monto Cotizado
($/Unid)],VEND[Mes
Cotizacion],'INDICADORES (M)'!$C$8,VEND[Vendedor],'INDICADORES (M)'!B14,VEND[STATUS],"PERDIDO")+SUMIFS(VEND[Monto Cotizado
($/Unid)],VEND[Mes
Cotizacion],'INDICADORES (M)'!$D$8,VEND[Vendedor],'INDICADORES (M)'!B14,VEND[STATUS],"PERDIDO")</f>
        <v>335.84</v>
      </c>
      <c r="H14" s="154">
        <f>SUMIFS(VEND[Monto Cotizado
($/Unid)],VEND[Mes
O.C],'INDICADORES (M)'!$B$8,VEND[Vendedor],'INDICADORES (M)'!B14,VEND[STATUS],"O.C")+SUMIFS(VEND[Monto Cotizado
($/Unid)],VEND[Mes
O.C],'INDICADORES (M)'!$C$8,VEND[Vendedor],'INDICADORES (M)'!B14,VEND[STATUS],"O.C")+SUMIFS(VEND[Monto Cotizado
($/Unid)],VEND[Mes
O.C],'INDICADORES (M)'!$D$8,VEND[Vendedor],'INDICADORES (M)'!B14,VEND[STATUS],"O.C")</f>
        <v>11453.95</v>
      </c>
      <c r="I14" s="154">
        <f>IFERROR(AVERAGEIFS(VEND[Monto Cotizado
($/Unid)],VEND[Mes
Cotizacion],'INDICADORES (M)'!$B$8,VEND[Vendedor],'INDICADORES (M)'!B14),0)</f>
        <v>4333.6253333333343</v>
      </c>
      <c r="J14" s="154">
        <f>INDEX(Metas!$B$2:$N$9,MATCH('INDICADORES (M)'!B14,Metas!$B$2:$B$9,0),MATCH('INDICADORES (M)'!$B$8,Metas!$B$2:$N$2,0))</f>
        <v>30000</v>
      </c>
      <c r="K14" s="157">
        <f t="shared" si="0"/>
        <v>0.38179833333333335</v>
      </c>
    </row>
    <row r="15" spans="1:11" s="4" customFormat="1" ht="16.5" thickBot="1" x14ac:dyDescent="0.3">
      <c r="A15" s="241"/>
      <c r="B15" s="150" t="s">
        <v>945</v>
      </c>
      <c r="C15" s="112">
        <f>COUNTIFS(VEND[Mes
Cotizacion],'INDICADORES (M)'!$B$8,VEND[Vendedor],'INDICADORES (M)'!B15)+COUNTIFS(VEND[Mes
Cotizacion],'INDICADORES (M)'!$C$8,VEND[Vendedor],'INDICADORES (M)'!B15)+COUNTIFS(VEND[Mes
Cotizacion],'INDICADORES (M)'!$D$8,VEND[Vendedor],'INDICADORES (M)'!B15)</f>
        <v>42</v>
      </c>
      <c r="D15" s="112">
        <f>COUNTIFS(VEND[Mes
Cotizacion],'INDICADORES (M)'!$B$8,VEND[Vendedor],'INDICADORES (M)'!B15,VEND[STATUS],"PERDIDO")+COUNTIFS(VEND[Mes
Cotizacion],'INDICADORES (M)'!$C$8,VEND[Vendedor],'INDICADORES (M)'!B15,VEND[STATUS],"PERDIDO")+COUNTIFS(VEND[Mes
Cotizacion],'INDICADORES (M)'!$D$8,VEND[Vendedor],'INDICADORES (M)'!B15,VEND[STATUS],"PERDIDO")</f>
        <v>4</v>
      </c>
      <c r="E15" s="112">
        <f>COUNTIFS(VEND[Vendedor],'INDICADORES (M)'!B15,VEND[Mes
O.C],'INDICADORES (M)'!$B$8,VEND[STATUS],"O.C")+COUNTIFS(VEND[Vendedor],'INDICADORES (M)'!B15,VEND[Mes
O.C],'INDICADORES (M)'!$C$8,VEND[STATUS],"O.C")+COUNTIFS(VEND[Vendedor],'INDICADORES (M)'!B15,VEND[Mes
O.C],'INDICADORES (M)'!$D$8,VEND[STATUS],"O.C")</f>
        <v>9</v>
      </c>
      <c r="F15" s="154">
        <f>SUMIFS(VEND[Monto Cotizado
($/Unid)],VEND[Mes
Cotizacion],'INDICADORES (M)'!$B$8,VEND[Vendedor],'INDICADORES (M)'!B15)+SUMIFS(VEND[Monto Cotizado
($/Unid)],VEND[Mes
Cotizacion],'INDICADORES (M)'!$C$8,VEND[Vendedor],'INDICADORES (M)'!B15)+SUMIFS(VEND[Monto Cotizado
($/Unid)],VEND[Mes
Cotizacion],'INDICADORES (M)'!$D$8,VEND[Vendedor],'INDICADORES (M)'!B15)</f>
        <v>280045.39</v>
      </c>
      <c r="G15" s="154">
        <f>SUMIFS(VEND[Monto Cotizado
($/Unid)],VEND[Mes
Cotizacion],'INDICADORES (M)'!$B$8,VEND[Vendedor],'INDICADORES (M)'!B15,VEND[STATUS],"PERDIDO")+SUMIFS(VEND[Monto Cotizado
($/Unid)],VEND[Mes
Cotizacion],'INDICADORES (M)'!$C$8,VEND[Vendedor],'INDICADORES (M)'!B15,VEND[STATUS],"PERDIDO")+SUMIFS(VEND[Monto Cotizado
($/Unid)],VEND[Mes
Cotizacion],'INDICADORES (M)'!$D$8,VEND[Vendedor],'INDICADORES (M)'!B15,VEND[STATUS],"PERDIDO")</f>
        <v>87736.93</v>
      </c>
      <c r="H15" s="154">
        <f>SUMIFS(VEND[Monto Cotizado
($/Unid)],VEND[Mes
O.C],'INDICADORES (M)'!$B$8,VEND[Vendedor],'INDICADORES (M)'!B15,VEND[STATUS],"O.C")+SUMIFS(VEND[Monto Cotizado
($/Unid)],VEND[Mes
O.C],'INDICADORES (M)'!$C$8,VEND[Vendedor],'INDICADORES (M)'!B15,VEND[STATUS],"O.C")+SUMIFS(VEND[Monto Cotizado
($/Unid)],VEND[Mes
O.C],'INDICADORES (M)'!$D$8,VEND[Vendedor],'INDICADORES (M)'!B15,VEND[STATUS],"O.C")</f>
        <v>46108.66</v>
      </c>
      <c r="I15" s="154">
        <f>IFERROR(AVERAGEIFS(VEND[Monto Cotizado
($/Unid)],VEND[Mes
Cotizacion],'INDICADORES (M)'!$B$8,VEND[Vendedor],'INDICADORES (M)'!B15),0)</f>
        <v>6667.7473809523817</v>
      </c>
      <c r="J15" s="154">
        <f>INDEX(Metas!$B$2:$N$9,MATCH('INDICADORES (M)'!B15,Metas!$B$2:$B$9,0),MATCH('INDICADORES (M)'!$B$8,Metas!$B$2:$N$2,0))</f>
        <v>15000</v>
      </c>
      <c r="K15" s="157">
        <f t="shared" si="0"/>
        <v>3.0739106666666669</v>
      </c>
    </row>
    <row r="16" spans="1:11" s="149" customFormat="1" ht="16.5" thickBot="1" x14ac:dyDescent="0.3">
      <c r="B16" s="151" t="s">
        <v>1614</v>
      </c>
      <c r="C16" s="151">
        <f>SUM(C10:C15)</f>
        <v>175</v>
      </c>
      <c r="D16" s="151">
        <f>SUM(D10:D15)</f>
        <v>10</v>
      </c>
      <c r="E16" s="151">
        <f t="shared" ref="E16:J16" si="1">SUM(E10:E15)</f>
        <v>43</v>
      </c>
      <c r="F16" s="155">
        <f t="shared" si="1"/>
        <v>1028115.52</v>
      </c>
      <c r="G16" s="155">
        <f t="shared" si="1"/>
        <v>111176.13999999998</v>
      </c>
      <c r="H16" s="155">
        <f t="shared" si="1"/>
        <v>157038.23000000001</v>
      </c>
      <c r="I16" s="155">
        <f>SUM(I10:I15)</f>
        <v>27112.038764285717</v>
      </c>
      <c r="J16" s="155">
        <f t="shared" si="1"/>
        <v>185000</v>
      </c>
      <c r="K16" s="158">
        <f>SUM(K10:K15)</f>
        <v>4.96596296969697</v>
      </c>
    </row>
    <row r="17" spans="2:11" s="149" customFormat="1" ht="16.5" thickBot="1" x14ac:dyDescent="0.3">
      <c r="B17" s="151" t="s">
        <v>1640</v>
      </c>
      <c r="C17" s="151">
        <f>COUNT(VEND[Fecha de Envío
Cotización])</f>
        <v>740</v>
      </c>
      <c r="D17" s="151">
        <f>COUNTIF(VEND[STATUS],"PERDIDO")</f>
        <v>267</v>
      </c>
      <c r="E17" s="151">
        <f>COUNTIF(VEND[STATUS],"O.C")</f>
        <v>167</v>
      </c>
      <c r="F17" s="155">
        <f>SUM(VEND[Monto Cotizado
($/Unid)])</f>
        <v>4533802.2909999983</v>
      </c>
      <c r="G17" s="155">
        <f>SUMIF(VEND[STATUS],"PERDIDO",VEND[Monto Cotizado
($/Unid)])</f>
        <v>2064248.9210000017</v>
      </c>
      <c r="H17" s="155">
        <f>SUMIF(VEND[STATUS],"O.C",VEND[Monto Cotizado
($/Unid)])</f>
        <v>788728.22999999986</v>
      </c>
      <c r="I17" s="155"/>
      <c r="J17" s="155"/>
      <c r="K17" s="158"/>
    </row>
    <row r="19" spans="2:11" x14ac:dyDescent="0.25">
      <c r="B19" s="159"/>
    </row>
    <row r="22" spans="2:11" s="37" customFormat="1" ht="30.75" thickBot="1" x14ac:dyDescent="0.3">
      <c r="B22" s="177" t="s">
        <v>11</v>
      </c>
      <c r="C22" s="177" t="s">
        <v>1664</v>
      </c>
      <c r="D22" s="178" t="s">
        <v>1665</v>
      </c>
      <c r="E22" s="178" t="s">
        <v>1666</v>
      </c>
      <c r="F22" s="179" t="s">
        <v>1624</v>
      </c>
      <c r="G22" s="176"/>
      <c r="J22" s="169"/>
      <c r="K22" s="172"/>
    </row>
    <row r="23" spans="2:11" x14ac:dyDescent="0.25">
      <c r="B23" s="110" t="s">
        <v>41</v>
      </c>
      <c r="H23" s="182"/>
      <c r="I23" s="239"/>
    </row>
    <row r="24" spans="2:11" x14ac:dyDescent="0.25">
      <c r="B24" s="110" t="s">
        <v>68</v>
      </c>
      <c r="H24" s="182"/>
      <c r="I24" s="239"/>
    </row>
    <row r="25" spans="2:11" ht="15.75" x14ac:dyDescent="0.25">
      <c r="B25" s="110" t="s">
        <v>1163</v>
      </c>
      <c r="H25" s="182"/>
      <c r="I25" s="240"/>
    </row>
    <row r="26" spans="2:11" x14ac:dyDescent="0.25">
      <c r="B26" s="110" t="s">
        <v>944</v>
      </c>
      <c r="G26" s="153" t="s">
        <v>57</v>
      </c>
    </row>
    <row r="27" spans="2:11" x14ac:dyDescent="0.25">
      <c r="B27" s="110" t="s">
        <v>50</v>
      </c>
    </row>
    <row r="28" spans="2:11" x14ac:dyDescent="0.25">
      <c r="B28" s="110" t="s">
        <v>945</v>
      </c>
    </row>
    <row r="29" spans="2:11" s="148" customFormat="1" ht="15.75" thickBot="1" x14ac:dyDescent="0.3">
      <c r="B29" s="180" t="s">
        <v>1614</v>
      </c>
      <c r="C29" s="180"/>
      <c r="D29" s="180"/>
      <c r="E29" s="180"/>
      <c r="F29" s="181"/>
      <c r="G29" s="182"/>
      <c r="H29" s="182"/>
      <c r="I29" s="182"/>
      <c r="J29" s="182"/>
      <c r="K29" s="183"/>
    </row>
  </sheetData>
  <mergeCells count="1">
    <mergeCell ref="A10:A15"/>
  </mergeCells>
  <pageMargins left="0.70866141732283472" right="0.70866141732283472" top="0.74803149606299213" bottom="0.74803149606299213" header="0.31496062992125984" footer="0.31496062992125984"/>
  <pageSetup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 filterMode="1"/>
  <dimension ref="A10:AC141"/>
  <sheetViews>
    <sheetView showGridLines="0" workbookViewId="0">
      <selection activeCell="A2" sqref="A2"/>
    </sheetView>
  </sheetViews>
  <sheetFormatPr baseColWidth="10" defaultRowHeight="15" x14ac:dyDescent="0.25"/>
  <cols>
    <col min="1" max="1" width="13.28515625" style="209" bestFit="1" customWidth="1"/>
    <col min="2" max="2" width="55.42578125" style="95" bestFit="1" customWidth="1"/>
    <col min="3" max="3" width="11.42578125" style="37"/>
    <col min="4" max="4" width="13.7109375" style="37" customWidth="1"/>
    <col min="5" max="5" width="13.42578125" style="37" customWidth="1"/>
    <col min="6" max="6" width="15.140625" style="37" customWidth="1"/>
    <col min="7" max="7" width="17" style="169" customWidth="1"/>
    <col min="8" max="8" width="17.5703125" style="169" customWidth="1"/>
    <col min="9" max="9" width="14" style="169" customWidth="1"/>
    <col min="10" max="10" width="11.42578125" style="37"/>
    <col min="11" max="11" width="12.140625" style="169" bestFit="1" customWidth="1"/>
    <col min="12" max="12" width="13.28515625" style="169" bestFit="1" customWidth="1"/>
    <col min="13" max="13" width="14.42578125" style="172" customWidth="1"/>
    <col min="17" max="17" width="18.140625" bestFit="1" customWidth="1"/>
  </cols>
  <sheetData>
    <row r="10" spans="1:13" s="49" customFormat="1" ht="63.75" thickBot="1" x14ac:dyDescent="0.3">
      <c r="A10" s="208"/>
      <c r="B10" s="162" t="s">
        <v>11</v>
      </c>
      <c r="C10" s="162" t="s">
        <v>1633</v>
      </c>
      <c r="D10" s="162" t="s">
        <v>1622</v>
      </c>
      <c r="E10" s="162" t="s">
        <v>1623</v>
      </c>
      <c r="F10" s="162" t="s">
        <v>1800</v>
      </c>
      <c r="G10" s="163" t="s">
        <v>1628</v>
      </c>
      <c r="H10" s="163" t="s">
        <v>1627</v>
      </c>
      <c r="I10" s="163" t="s">
        <v>1629</v>
      </c>
      <c r="J10" s="162" t="s">
        <v>1626</v>
      </c>
      <c r="K10" s="163" t="s">
        <v>1660</v>
      </c>
      <c r="L10" s="163" t="s">
        <v>1630</v>
      </c>
      <c r="M10" s="164" t="s">
        <v>1625</v>
      </c>
    </row>
    <row r="11" spans="1:13" s="4" customFormat="1" ht="15.75" x14ac:dyDescent="0.25">
      <c r="A11" s="207"/>
      <c r="B11" s="243" t="s">
        <v>2410</v>
      </c>
      <c r="C11" s="49" t="s">
        <v>1636</v>
      </c>
      <c r="D11" s="49">
        <f>COUNTIFS(VEND[Mes
Cotizacion],C11,VEND[Vendedor],$B$11)</f>
        <v>12</v>
      </c>
      <c r="E11" s="49">
        <f>COUNTIFS(VEND[Mes
Cotizacion],C11,VEND[Vendedor],$B$11,VEND[STATUS],"PERDIDO")</f>
        <v>5</v>
      </c>
      <c r="F11" s="49">
        <f>COUNTIFS(VEND[Vendedor],$B$11,VEND[Mes
O.C],C11,VEND[STATUS],"O.C")</f>
        <v>3</v>
      </c>
      <c r="G11" s="167">
        <f>SUMIFS(VEND[Monto Cotizado
($/Unid)],VEND[Mes
Cotizacion],C11,VEND[Vendedor],$B$11)</f>
        <v>100331.8</v>
      </c>
      <c r="H11" s="167">
        <f>SUMIFS(VEND[Monto Cotizado
($/Unid)],VEND[Mes
Cotizacion],C11,VEND[Vendedor],$B$11,VEND[STATUS],"PERDIDO")</f>
        <v>62803.8</v>
      </c>
      <c r="I11" s="167">
        <f>SUMIFS(VEND[Monto Cotizado
($/Unid)],VEND[Mes
O.C],C11,VEND[Vendedor],$B$11,VEND[STATUS],"O.C")</f>
        <v>10198</v>
      </c>
      <c r="J11" s="49"/>
      <c r="K11" s="167">
        <f>IFERROR(AVERAGEIFS(VEND[Monto Cotizado
($/Unid)],VEND[Mes
Cotizacion],C11,VEND[Vendedor],$B$11),0)</f>
        <v>8360.9833333333336</v>
      </c>
      <c r="L11" s="167">
        <f>INDEX(Metas!$B$2:$N$9,MATCH($B$11,Metas!$B$2:$B$9,0),MATCH(C11,Metas!$B$2:$N$2,0))</f>
        <v>0</v>
      </c>
      <c r="M11" s="170">
        <f t="shared" ref="M11:M22" si="0">IFERROR(I11/L11,0)</f>
        <v>0</v>
      </c>
    </row>
    <row r="12" spans="1:13" s="4" customFormat="1" ht="15.75" x14ac:dyDescent="0.25">
      <c r="A12" s="207"/>
      <c r="B12" s="244"/>
      <c r="C12" s="49" t="s">
        <v>1637</v>
      </c>
      <c r="D12" s="49">
        <f>COUNTIFS(VEND[Mes
Cotizacion],C12,VEND[Vendedor],$B$11)</f>
        <v>17</v>
      </c>
      <c r="E12" s="49">
        <f>COUNTIFS(VEND[Mes
Cotizacion],C12,VEND[Vendedor],$B$11,VEND[STATUS],"PERDIDO")</f>
        <v>12</v>
      </c>
      <c r="F12" s="49">
        <f>COUNTIFS(VEND[Vendedor],$B$11,VEND[Mes
O.C],C12,VEND[STATUS],"O.C")</f>
        <v>3</v>
      </c>
      <c r="G12" s="167">
        <f>SUMIFS(VEND[Monto Cotizado
($/Unid)],VEND[Mes
Cotizacion],C12,VEND[Vendedor],$B$11)</f>
        <v>418725.13</v>
      </c>
      <c r="H12" s="167">
        <f>SUMIFS(VEND[Monto Cotizado
($/Unid)],VEND[Mes
Cotizacion],C12,VEND[Vendedor],$B$11,VEND[STATUS],"PERDIDO")</f>
        <v>114561.88</v>
      </c>
      <c r="I12" s="167">
        <f>SUMIFS(VEND[Monto Cotizado
($/Unid)],VEND[Mes
O.C],C12,VEND[Vendedor],$B$11,VEND[STATUS],"O.C")</f>
        <v>126698.65</v>
      </c>
      <c r="J12" s="49"/>
      <c r="K12" s="167">
        <f>IFERROR(AVERAGEIFS(VEND[Monto Cotizado
($/Unid)],VEND[Mes
Cotizacion],C12,VEND[Vendedor],$B$11),0)</f>
        <v>24630.89</v>
      </c>
      <c r="L12" s="167">
        <f>INDEX(Metas!$B$2:$N$9,MATCH($B$11,Metas!$B$2:$B$9,0),MATCH(C12,Metas!$B$2:$N$2,0))</f>
        <v>0</v>
      </c>
      <c r="M12" s="170">
        <f t="shared" si="0"/>
        <v>0</v>
      </c>
    </row>
    <row r="13" spans="1:13" s="4" customFormat="1" ht="15.75" x14ac:dyDescent="0.25">
      <c r="A13" s="207"/>
      <c r="B13" s="244"/>
      <c r="C13" s="49" t="s">
        <v>1634</v>
      </c>
      <c r="D13" s="49">
        <f>COUNTIFS(VEND[Mes
Cotizacion],C13,VEND[Vendedor],$B$11)</f>
        <v>35</v>
      </c>
      <c r="E13" s="49">
        <f>COUNTIFS(VEND[Mes
Cotizacion],C13,VEND[Vendedor],$B$11,VEND[STATUS],"PERDIDO")</f>
        <v>19</v>
      </c>
      <c r="F13" s="49">
        <f>COUNTIFS(VEND[Vendedor],$B$11,VEND[Mes
O.C],C13,VEND[STATUS],"O.C")</f>
        <v>9</v>
      </c>
      <c r="G13" s="167">
        <f>SUMIFS(VEND[Monto Cotizado
($/Unid)],VEND[Mes
Cotizacion],C13,VEND[Vendedor],$B$11)</f>
        <v>412697.99</v>
      </c>
      <c r="H13" s="167">
        <f>SUMIFS(VEND[Monto Cotizado
($/Unid)],VEND[Mes
Cotizacion],C13,VEND[Vendedor],$B$11,VEND[STATUS],"PERDIDO")</f>
        <v>312753.08999999997</v>
      </c>
      <c r="I13" s="167">
        <f>SUMIFS(VEND[Monto Cotizado
($/Unid)],VEND[Mes
O.C],C13,VEND[Vendedor],$B$11,VEND[STATUS],"O.C")</f>
        <v>198078.5</v>
      </c>
      <c r="J13" s="49"/>
      <c r="K13" s="167">
        <f>IFERROR(AVERAGEIFS(VEND[Monto Cotizado
($/Unid)],VEND[Mes
Cotizacion],C13,VEND[Vendedor],$B$11),0)</f>
        <v>11791.371142857142</v>
      </c>
      <c r="L13" s="167">
        <f>INDEX(Metas!$B$2:$N$9,MATCH($B$11,Metas!$B$2:$B$9,0),MATCH(C13,Metas!$B$2:$N$2,0))</f>
        <v>31000</v>
      </c>
      <c r="M13" s="170">
        <f t="shared" si="0"/>
        <v>6.3896290322580649</v>
      </c>
    </row>
    <row r="14" spans="1:13" s="4" customFormat="1" ht="15.75" x14ac:dyDescent="0.25">
      <c r="A14" s="207"/>
      <c r="B14" s="244"/>
      <c r="C14" s="49" t="s">
        <v>1638</v>
      </c>
      <c r="D14" s="49">
        <f>COUNTIFS(VEND[Mes
Cotizacion],C14,VEND[Vendedor],$B$11)</f>
        <v>49</v>
      </c>
      <c r="E14" s="49">
        <f>COUNTIFS(VEND[Mes
Cotizacion],C14,VEND[Vendedor],$B$11,VEND[STATUS],"PERDIDO")</f>
        <v>13</v>
      </c>
      <c r="F14" s="49">
        <f>COUNTIFS(VEND[Vendedor],$B$11,VEND[Mes
O.C],C14,VEND[STATUS],"O.C")</f>
        <v>19</v>
      </c>
      <c r="G14" s="167">
        <f>SUMIFS(VEND[Monto Cotizado
($/Unid)],VEND[Mes
Cotizacion],C14,VEND[Vendedor],$B$11)</f>
        <v>179611.18000000002</v>
      </c>
      <c r="H14" s="167">
        <f>SUMIFS(VEND[Monto Cotizado
($/Unid)],VEND[Mes
Cotizacion],C14,VEND[Vendedor],$B$11,VEND[STATUS],"PERDIDO")</f>
        <v>37837.360000000001</v>
      </c>
      <c r="I14" s="167">
        <f>SUMIFS(VEND[Monto Cotizado
($/Unid)],VEND[Mes
O.C],C14,VEND[Vendedor],$B$11,VEND[STATUS],"O.C")</f>
        <v>97082.26</v>
      </c>
      <c r="J14" s="49"/>
      <c r="K14" s="167">
        <f>IFERROR(AVERAGEIFS(VEND[Monto Cotizado
($/Unid)],VEND[Mes
Cotizacion],C14,VEND[Vendedor],$B$11),0)</f>
        <v>3665.5342857142859</v>
      </c>
      <c r="L14" s="167">
        <f>INDEX(Metas!$B$2:$N$9,MATCH($B$11,Metas!$B$2:$B$9,0),MATCH(C14,Metas!$B$2:$N$2,0))</f>
        <v>54000</v>
      </c>
      <c r="M14" s="170">
        <f t="shared" si="0"/>
        <v>1.7978196296296296</v>
      </c>
    </row>
    <row r="15" spans="1:13" s="4" customFormat="1" ht="15.75" x14ac:dyDescent="0.25">
      <c r="A15" s="207"/>
      <c r="B15" s="244"/>
      <c r="C15" s="49" t="s">
        <v>1639</v>
      </c>
      <c r="D15" s="49">
        <f>COUNTIFS(VEND[Mes
Cotizacion],C15,VEND[Vendedor],$B$11)</f>
        <v>61</v>
      </c>
      <c r="E15" s="49">
        <f>COUNTIFS(VEND[Mes
Cotizacion],C15,VEND[Vendedor],$B$11,VEND[STATUS],"PERDIDO")</f>
        <v>0</v>
      </c>
      <c r="F15" s="49">
        <f>COUNTIFS(VEND[Vendedor],$B$11,VEND[Mes
O.C],C15,VEND[STATUS],"O.C")</f>
        <v>27</v>
      </c>
      <c r="G15" s="167">
        <f>SUMIFS(VEND[Monto Cotizado
($/Unid)],VEND[Mes
Cotizacion],C15,VEND[Vendedor],$B$11)</f>
        <v>415195.78999999986</v>
      </c>
      <c r="H15" s="167">
        <f>SUMIFS(VEND[Monto Cotizado
($/Unid)],VEND[Mes
Cotizacion],C15,VEND[Vendedor],$B$11,VEND[STATUS],"PERDIDO")</f>
        <v>0</v>
      </c>
      <c r="I15" s="167">
        <f>SUMIFS(VEND[Monto Cotizado
($/Unid)],VEND[Mes
O.C],C15,VEND[Vendedor],$B$11,VEND[STATUS],"O.C")</f>
        <v>118055.38999999998</v>
      </c>
      <c r="J15" s="49"/>
      <c r="K15" s="167">
        <f>IFERROR(AVERAGEIFS(VEND[Monto Cotizado
($/Unid)],VEND[Mes
Cotizacion],C15,VEND[Vendedor],$B$11),0)</f>
        <v>6806.4883606557351</v>
      </c>
      <c r="L15" s="167">
        <f>INDEX(Metas!$B$2:$N$9,MATCH($B$11,Metas!$B$2:$B$9,0),MATCH(C15,Metas!$B$2:$N$2,0))</f>
        <v>110000</v>
      </c>
      <c r="M15" s="170">
        <f t="shared" si="0"/>
        <v>1.073230818181818</v>
      </c>
    </row>
    <row r="16" spans="1:13" s="4" customFormat="1" ht="15.75" x14ac:dyDescent="0.25">
      <c r="A16" s="207"/>
      <c r="B16" s="244"/>
      <c r="C16" s="49" t="s">
        <v>1645</v>
      </c>
      <c r="D16" s="49">
        <f>COUNTIFS(VEND[Mes
Cotizacion],C16,VEND[Vendedor],$B$11)</f>
        <v>39</v>
      </c>
      <c r="E16" s="49">
        <f>COUNTIFS(VEND[Mes
Cotizacion],C16,VEND[Vendedor],$B$11,VEND[STATUS],"PERDIDO")</f>
        <v>0</v>
      </c>
      <c r="F16" s="49">
        <f>COUNTIFS(VEND[Vendedor],$B$11,VEND[Mes
O.C],C16,VEND[STATUS],"O.C")</f>
        <v>17</v>
      </c>
      <c r="G16" s="167">
        <f>SUMIFS(VEND[Monto Cotizado
($/Unid)],VEND[Mes
Cotizacion],C16,VEND[Vendedor],$B$11)</f>
        <v>425309.29999999993</v>
      </c>
      <c r="H16" s="167">
        <f>SUMIFS(VEND[Monto Cotizado
($/Unid)],VEND[Mes
Cotizacion],C16,VEND[Vendedor],$B$11,VEND[STATUS],"PERDIDO")</f>
        <v>0</v>
      </c>
      <c r="I16" s="167">
        <f>SUMIFS(VEND[Monto Cotizado
($/Unid)],VEND[Mes
O.C],C16,VEND[Vendedor],$B$11,VEND[STATUS],"O.C")</f>
        <v>88951.57</v>
      </c>
      <c r="J16" s="49"/>
      <c r="K16" s="167">
        <f>IFERROR(AVERAGEIFS(VEND[Monto Cotizado
($/Unid)],VEND[Mes
Cotizacion],C16,VEND[Vendedor],$B$11),0)</f>
        <v>10905.366666666665</v>
      </c>
      <c r="L16" s="167">
        <f>INDEX(Metas!$B$2:$N$9,MATCH($B$11,Metas!$B$2:$B$9,0),MATCH(C16,Metas!$B$2:$N$2,0))</f>
        <v>110000</v>
      </c>
      <c r="M16" s="170">
        <f t="shared" si="0"/>
        <v>0.80865063636363643</v>
      </c>
    </row>
    <row r="17" spans="1:29" s="4" customFormat="1" ht="15.75" x14ac:dyDescent="0.25">
      <c r="A17" s="207"/>
      <c r="B17" s="244"/>
      <c r="C17" s="49" t="s">
        <v>1646</v>
      </c>
      <c r="D17" s="49">
        <f>COUNTIFS(VEND[Mes
Cotizacion],C17,VEND[Vendedor],$B$11)</f>
        <v>0</v>
      </c>
      <c r="E17" s="49">
        <f>COUNTIFS(VEND[Mes
Cotizacion],C17,VEND[Vendedor],$B$11,VEND[STATUS],"PERDIDO")</f>
        <v>0</v>
      </c>
      <c r="F17" s="49">
        <f>COUNTIFS(VEND[Vendedor],$B$11,VEND[Mes
O.C],C17,VEND[STATUS],"O.C")</f>
        <v>1</v>
      </c>
      <c r="G17" s="167">
        <f>SUMIFS(VEND[Monto Cotizado
($/Unid)],VEND[Mes
Cotizacion],C17,VEND[Vendedor],$B$11)</f>
        <v>0</v>
      </c>
      <c r="H17" s="167">
        <f>SUMIFS(VEND[Monto Cotizado
($/Unid)],VEND[Mes
Cotizacion],C17,VEND[Vendedor],$B$11,VEND[STATUS],"PERDIDO")</f>
        <v>0</v>
      </c>
      <c r="I17" s="167">
        <f>SUMIFS(VEND[Monto Cotizado
($/Unid)],VEND[Mes
O.C],C17,VEND[Vendedor],$B$11,VEND[STATUS],"O.C")</f>
        <v>24620.560000000001</v>
      </c>
      <c r="J17" s="49"/>
      <c r="K17" s="167">
        <f>IFERROR(AVERAGEIFS(VEND[Monto Cotizado
($/Unid)],VEND[Mes
Cotizacion],C17,VEND[Vendedor],$B$11),0)</f>
        <v>0</v>
      </c>
      <c r="L17" s="167">
        <f>INDEX(Metas!$B$2:$N$9,MATCH($B$11,Metas!$B$2:$B$9,0),MATCH(C17,Metas!$B$2:$N$2,0))</f>
        <v>0</v>
      </c>
      <c r="M17" s="170">
        <f t="shared" si="0"/>
        <v>0</v>
      </c>
    </row>
    <row r="18" spans="1:29" s="4" customFormat="1" ht="15.75" x14ac:dyDescent="0.25">
      <c r="A18" s="207"/>
      <c r="B18" s="244"/>
      <c r="C18" s="49" t="s">
        <v>1647</v>
      </c>
      <c r="D18" s="49">
        <f>COUNTIFS(VEND[Mes
Cotizacion],C18,VEND[Vendedor],$B$11)</f>
        <v>0</v>
      </c>
      <c r="E18" s="49">
        <f>COUNTIFS(VEND[Mes
Cotizacion],C18,VEND[Vendedor],$B$11,VEND[STATUS],"PERDIDO")</f>
        <v>0</v>
      </c>
      <c r="F18" s="49">
        <f>COUNTIFS(VEND[Vendedor],$B$11,VEND[Mes
O.C],C18,VEND[STATUS],"O.C")</f>
        <v>0</v>
      </c>
      <c r="G18" s="167">
        <f>SUMIFS(VEND[Monto Cotizado
($/Unid)],VEND[Mes
Cotizacion],C18,VEND[Vendedor],$B$11)</f>
        <v>0</v>
      </c>
      <c r="H18" s="167">
        <f>SUMIFS(VEND[Monto Cotizado
($/Unid)],VEND[Mes
Cotizacion],C18,VEND[Vendedor],$B$11,VEND[STATUS],"PERDIDO")</f>
        <v>0</v>
      </c>
      <c r="I18" s="167">
        <f>SUMIFS(VEND[Monto Cotizado
($/Unid)],VEND[Mes
O.C],C18,VEND[Vendedor],$B$11,VEND[STATUS],"O.C")</f>
        <v>0</v>
      </c>
      <c r="J18" s="49"/>
      <c r="K18" s="167">
        <f>IFERROR(AVERAGEIFS(VEND[Monto Cotizado
($/Unid)],VEND[Mes
Cotizacion],C18,VEND[Vendedor],$B$11),0)</f>
        <v>0</v>
      </c>
      <c r="L18" s="167">
        <f>INDEX(Metas!$B$2:$N$9,MATCH($B$11,Metas!$B$2:$B$9,0),MATCH(C18,Metas!$B$2:$N$2,0))</f>
        <v>0</v>
      </c>
      <c r="M18" s="170">
        <f t="shared" si="0"/>
        <v>0</v>
      </c>
    </row>
    <row r="19" spans="1:29" s="4" customFormat="1" ht="15.75" x14ac:dyDescent="0.25">
      <c r="A19" s="207"/>
      <c r="B19" s="244"/>
      <c r="C19" s="49" t="s">
        <v>1648</v>
      </c>
      <c r="D19" s="49">
        <f>COUNTIFS(VEND[Mes
Cotizacion],C19,VEND[Vendedor],$B$11)</f>
        <v>0</v>
      </c>
      <c r="E19" s="49">
        <f>COUNTIFS(VEND[Mes
Cotizacion],C19,VEND[Vendedor],$B$11,VEND[STATUS],"PERDIDO")</f>
        <v>0</v>
      </c>
      <c r="F19" s="49">
        <f>COUNTIFS(VEND[Vendedor],$B$11,VEND[Mes
O.C],C19,VEND[STATUS],"O.C")</f>
        <v>0</v>
      </c>
      <c r="G19" s="167">
        <f>SUMIFS(VEND[Monto Cotizado
($/Unid)],VEND[Mes
Cotizacion],C19,VEND[Vendedor],$B$11)</f>
        <v>0</v>
      </c>
      <c r="H19" s="167">
        <f>SUMIFS(VEND[Monto Cotizado
($/Unid)],VEND[Mes
Cotizacion],C19,VEND[Vendedor],$B$11,VEND[STATUS],"PERDIDO")</f>
        <v>0</v>
      </c>
      <c r="I19" s="167">
        <f>SUMIFS(VEND[Monto Cotizado
($/Unid)],VEND[Mes
O.C],C19,VEND[Vendedor],$B$11,VEND[STATUS],"O.C")</f>
        <v>0</v>
      </c>
      <c r="J19" s="49"/>
      <c r="K19" s="167">
        <f>IFERROR(AVERAGEIFS(VEND[Monto Cotizado
($/Unid)],VEND[Mes
Cotizacion],C19,VEND[Vendedor],$B$11),0)</f>
        <v>0</v>
      </c>
      <c r="L19" s="167">
        <f>INDEX(Metas!$B$2:$N$9,MATCH($B$11,Metas!$B$2:$B$9,0),MATCH(C19,Metas!$B$2:$N$2,0))</f>
        <v>0</v>
      </c>
      <c r="M19" s="170">
        <f t="shared" si="0"/>
        <v>0</v>
      </c>
    </row>
    <row r="20" spans="1:29" s="4" customFormat="1" ht="15.75" x14ac:dyDescent="0.25">
      <c r="A20" s="207"/>
      <c r="B20" s="244"/>
      <c r="C20" s="49" t="s">
        <v>1649</v>
      </c>
      <c r="D20" s="49">
        <f>COUNTIFS(VEND[Mes
Cotizacion],C20,VEND[Vendedor],$B$11)</f>
        <v>0</v>
      </c>
      <c r="E20" s="49">
        <f>COUNTIFS(VEND[Mes
Cotizacion],C20,VEND[Vendedor],$B$11,VEND[STATUS],"PERDIDO")</f>
        <v>0</v>
      </c>
      <c r="F20" s="49">
        <f>COUNTIFS(VEND[Vendedor],$B$11,VEND[Mes
O.C],C20,VEND[STATUS],"O.C")</f>
        <v>0</v>
      </c>
      <c r="G20" s="167">
        <f>SUMIFS(VEND[Monto Cotizado
($/Unid)],VEND[Mes
Cotizacion],C20,VEND[Vendedor],$B$11)</f>
        <v>0</v>
      </c>
      <c r="H20" s="167">
        <f>SUMIFS(VEND[Monto Cotizado
($/Unid)],VEND[Mes
Cotizacion],C20,VEND[Vendedor],$B$11,VEND[STATUS],"PERDIDO")</f>
        <v>0</v>
      </c>
      <c r="I20" s="167">
        <f>SUMIFS(VEND[Monto Cotizado
($/Unid)],VEND[Mes
O.C],C20,VEND[Vendedor],$B$11,VEND[STATUS],"O.C")</f>
        <v>0</v>
      </c>
      <c r="J20" s="49"/>
      <c r="K20" s="167">
        <f>IFERROR(AVERAGEIFS(VEND[Monto Cotizado
($/Unid)],VEND[Mes
Cotizacion],C20,VEND[Vendedor],$B$11),0)</f>
        <v>0</v>
      </c>
      <c r="L20" s="167">
        <f>INDEX(Metas!$B$2:$N$9,MATCH($B$11,Metas!$B$2:$B$9,0),MATCH(C20,Metas!$B$2:$N$2,0))</f>
        <v>0</v>
      </c>
      <c r="M20" s="170">
        <f t="shared" si="0"/>
        <v>0</v>
      </c>
    </row>
    <row r="21" spans="1:29" s="4" customFormat="1" ht="15.75" x14ac:dyDescent="0.25">
      <c r="A21" s="207"/>
      <c r="B21" s="244"/>
      <c r="C21" s="49" t="s">
        <v>1650</v>
      </c>
      <c r="D21" s="49">
        <f>COUNTIFS(VEND[Mes
Cotizacion],C21,VEND[Vendedor],$B$11)</f>
        <v>0</v>
      </c>
      <c r="E21" s="49">
        <f>COUNTIFS(VEND[Mes
Cotizacion],C21,VEND[Vendedor],$B$11,VEND[STATUS],"PERDIDO")</f>
        <v>0</v>
      </c>
      <c r="F21" s="49">
        <f>COUNTIFS(VEND[Vendedor],$B$11,VEND[Mes
O.C],C21,VEND[STATUS],"O.C")</f>
        <v>0</v>
      </c>
      <c r="G21" s="167">
        <f>SUMIFS(VEND[Monto Cotizado
($/Unid)],VEND[Mes
Cotizacion],C21,VEND[Vendedor],$B$11)</f>
        <v>0</v>
      </c>
      <c r="H21" s="167">
        <f>SUMIFS(VEND[Monto Cotizado
($/Unid)],VEND[Mes
Cotizacion],C21,VEND[Vendedor],$B$11,VEND[STATUS],"PERDIDO")</f>
        <v>0</v>
      </c>
      <c r="I21" s="167">
        <f>SUMIFS(VEND[Monto Cotizado
($/Unid)],VEND[Mes
O.C],C21,VEND[Vendedor],$B$11,VEND[STATUS],"O.C")</f>
        <v>0</v>
      </c>
      <c r="J21" s="49"/>
      <c r="K21" s="167">
        <f>IFERROR(AVERAGEIFS(VEND[Monto Cotizado
($/Unid)],VEND[Mes
Cotizacion],C21,VEND[Vendedor],$B$11),0)</f>
        <v>0</v>
      </c>
      <c r="L21" s="167">
        <f>INDEX(Metas!$B$2:$N$9,MATCH($B$11,Metas!$B$2:$B$9,0),MATCH(C21,Metas!$B$2:$N$2,0))</f>
        <v>0</v>
      </c>
      <c r="M21" s="170">
        <f t="shared" si="0"/>
        <v>0</v>
      </c>
    </row>
    <row r="22" spans="1:29" s="4" customFormat="1" ht="15.75" x14ac:dyDescent="0.25">
      <c r="A22" s="207"/>
      <c r="B22" s="244"/>
      <c r="C22" s="49" t="s">
        <v>1651</v>
      </c>
      <c r="D22" s="49">
        <f>COUNTIFS(VEND[Mes
Cotizacion],C22,VEND[Vendedor],$B$11)</f>
        <v>0</v>
      </c>
      <c r="E22" s="49">
        <f>COUNTIFS(VEND[Mes
Cotizacion],C22,VEND[Vendedor],$B$11,VEND[STATUS],"PERDIDO")</f>
        <v>0</v>
      </c>
      <c r="F22" s="49">
        <f>COUNTIFS(VEND[Vendedor],$B$11,VEND[Mes
O.C],C22,VEND[STATUS],"O.C")</f>
        <v>0</v>
      </c>
      <c r="G22" s="167">
        <f>SUMIFS(VEND[Monto Cotizado
($/Unid)],VEND[Mes
Cotizacion],C22,VEND[Vendedor],$B$11)</f>
        <v>0</v>
      </c>
      <c r="H22" s="167">
        <f>SUMIFS(VEND[Monto Cotizado
($/Unid)],VEND[Mes
Cotizacion],C22,VEND[Vendedor],$B$11,VEND[STATUS],"PERDIDO")</f>
        <v>0</v>
      </c>
      <c r="I22" s="167">
        <f>SUMIFS(VEND[Monto Cotizado
($/Unid)],VEND[Mes
O.C],C22,VEND[Vendedor],$B$11,VEND[STATUS],"O.C")</f>
        <v>0</v>
      </c>
      <c r="J22" s="49"/>
      <c r="K22" s="167">
        <f>IFERROR(AVERAGEIFS(VEND[Monto Cotizado
($/Unid)],VEND[Mes
Cotizacion],C22,VEND[Vendedor],$B$11),0)</f>
        <v>0</v>
      </c>
      <c r="L22" s="167">
        <f>INDEX(Metas!$B$2:$N$9,MATCH($B$11,Metas!$B$2:$B$9,0),MATCH(C22,Metas!$B$2:$N$2,0))</f>
        <v>0</v>
      </c>
      <c r="M22" s="170">
        <f t="shared" si="0"/>
        <v>0</v>
      </c>
    </row>
    <row r="23" spans="1:29" s="149" customFormat="1" ht="16.5" thickBot="1" x14ac:dyDescent="0.3">
      <c r="A23" s="207"/>
      <c r="B23" s="165"/>
      <c r="C23" s="166" t="s">
        <v>1614</v>
      </c>
      <c r="D23" s="166">
        <f t="shared" ref="D23:I23" si="1">SUM(D11:D22)</f>
        <v>213</v>
      </c>
      <c r="E23" s="166">
        <f t="shared" si="1"/>
        <v>49</v>
      </c>
      <c r="F23" s="166">
        <f t="shared" si="1"/>
        <v>79</v>
      </c>
      <c r="G23" s="168">
        <f t="shared" si="1"/>
        <v>1951871.1899999995</v>
      </c>
      <c r="H23" s="168">
        <f t="shared" si="1"/>
        <v>527956.13</v>
      </c>
      <c r="I23" s="168">
        <f t="shared" si="1"/>
        <v>663684.93000000017</v>
      </c>
      <c r="J23" s="166"/>
      <c r="K23" s="168">
        <f>SUM(K11:K22)</f>
        <v>66160.633789227155</v>
      </c>
      <c r="L23" s="168">
        <f>SUM(L11:L22)</f>
        <v>305000</v>
      </c>
      <c r="M23" s="171">
        <f>SUM(M11:M22)</f>
        <v>10.069330116433148</v>
      </c>
    </row>
    <row r="24" spans="1:29" s="149" customFormat="1" ht="15.75" x14ac:dyDescent="0.25">
      <c r="A24" s="207"/>
      <c r="B24" s="196"/>
      <c r="C24" s="197"/>
      <c r="D24" s="197"/>
      <c r="E24" s="197"/>
      <c r="F24" s="197"/>
      <c r="G24" s="198"/>
      <c r="H24" s="198"/>
      <c r="I24" s="198"/>
      <c r="J24" s="197"/>
      <c r="K24" s="198"/>
      <c r="L24" s="198"/>
      <c r="M24" s="199"/>
    </row>
    <row r="25" spans="1:29" s="149" customFormat="1" ht="15.75" x14ac:dyDescent="0.25">
      <c r="A25" s="207"/>
      <c r="B25" s="196"/>
      <c r="C25" s="197"/>
      <c r="D25" s="197"/>
      <c r="E25" s="197"/>
      <c r="F25" s="197"/>
      <c r="G25" s="198"/>
      <c r="H25" s="198"/>
      <c r="I25" s="198"/>
      <c r="J25" s="197"/>
      <c r="K25" s="198"/>
      <c r="L25" s="198"/>
      <c r="M25" s="199"/>
    </row>
    <row r="27" spans="1:29" s="95" customFormat="1" ht="15.75" thickBot="1" x14ac:dyDescent="0.3">
      <c r="A27" s="209"/>
      <c r="B27" s="242" t="s">
        <v>1797</v>
      </c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Q27" s="242" t="s">
        <v>1802</v>
      </c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</row>
    <row r="28" spans="1:29" s="37" customFormat="1" x14ac:dyDescent="0.25">
      <c r="A28" s="210"/>
      <c r="B28" s="173" t="s">
        <v>1668</v>
      </c>
      <c r="C28" s="173" t="s">
        <v>1643</v>
      </c>
      <c r="D28" s="173" t="s">
        <v>1644</v>
      </c>
      <c r="E28" s="173" t="s">
        <v>1635</v>
      </c>
      <c r="F28" s="173" t="s">
        <v>1642</v>
      </c>
      <c r="G28" s="173" t="s">
        <v>1641</v>
      </c>
      <c r="H28" s="173" t="s">
        <v>1652</v>
      </c>
      <c r="I28" s="173" t="s">
        <v>201</v>
      </c>
      <c r="J28" s="173" t="s">
        <v>1653</v>
      </c>
      <c r="K28" s="173" t="s">
        <v>1654</v>
      </c>
      <c r="L28" s="173" t="s">
        <v>1655</v>
      </c>
      <c r="M28" s="173" t="s">
        <v>1656</v>
      </c>
      <c r="N28" s="173" t="s">
        <v>1657</v>
      </c>
      <c r="Q28" s="37" t="s">
        <v>1668</v>
      </c>
      <c r="R28" s="37" t="s">
        <v>1643</v>
      </c>
      <c r="S28" s="37" t="s">
        <v>1644</v>
      </c>
      <c r="T28" s="37" t="s">
        <v>1635</v>
      </c>
      <c r="U28" s="37" t="s">
        <v>1642</v>
      </c>
      <c r="V28" s="37" t="s">
        <v>1641</v>
      </c>
      <c r="W28" s="37" t="s">
        <v>1652</v>
      </c>
      <c r="X28" s="37" t="s">
        <v>201</v>
      </c>
      <c r="Y28" s="37" t="s">
        <v>1653</v>
      </c>
      <c r="Z28" s="37" t="s">
        <v>1654</v>
      </c>
      <c r="AA28" s="37" t="s">
        <v>1655</v>
      </c>
      <c r="AB28" s="37" t="s">
        <v>1656</v>
      </c>
      <c r="AC28" s="37" t="s">
        <v>1657</v>
      </c>
    </row>
    <row r="29" spans="1:29" s="37" customFormat="1" x14ac:dyDescent="0.25">
      <c r="A29" s="210"/>
      <c r="B29" s="173" t="s">
        <v>1409</v>
      </c>
      <c r="C29" s="169">
        <f>SUMIFS(VEND[Monto Cotizado
($/Unid)],VEND[Estado/ Ciudad],'INDICADORES (A)'!B29,VEND[Mes
Cotizacion],'INDICADORES (A)'!$C$28)</f>
        <v>100331.8</v>
      </c>
      <c r="D29" s="169">
        <f>SUMIFS(VEND[Monto Cotizado
($/Unid)],VEND[Estado/ Ciudad],'INDICADORES (A)'!B29,VEND[Mes
Cotizacion],'INDICADORES (A)'!$D$28)</f>
        <v>168312.54</v>
      </c>
      <c r="E29" s="169">
        <f>SUMIFS(VEND[Monto Cotizado
($/Unid)],VEND[Estado/ Ciudad],'INDICADORES (A)'!B29,VEND[Mes
Cotizacion],'INDICADORES (A)'!E$28)</f>
        <v>343278.15</v>
      </c>
      <c r="F29" s="169">
        <f>SUMIFS(VEND[Monto Cotizado
($/Unid)],VEND[Estado/ Ciudad],'INDICADORES (A)'!B29,VEND[Mes
Cotizacion],'INDICADORES (A)'!$F$28)</f>
        <v>189791.98000000004</v>
      </c>
      <c r="G29" s="169">
        <f>SUMIFS(VEND[Monto Cotizado
($/Unid)],VEND[Estado/ Ciudad],'INDICADORES (A)'!B29,VEND[Mes
Cotizacion],'INDICADORES (A)'!$G$28)</f>
        <v>302421.83999999985</v>
      </c>
      <c r="H29" s="169">
        <f>SUMIFS(VEND[Monto Cotizado
($/Unid)],VEND[Estado/ Ciudad],'INDICADORES (A)'!B29,VEND[Mes
Cotizacion],'INDICADORES (A)'!$H$28)</f>
        <v>213496.69000000003</v>
      </c>
      <c r="I29" s="169">
        <f>SUMIFS(VEND[Monto Cotizado
($/Unid)],VEND[Estado/ Ciudad],'INDICADORES (A)'!B29,VEND[Mes
Cotizacion],'INDICADORES (A)'!I28)</f>
        <v>0</v>
      </c>
      <c r="J29" s="169">
        <f>SUMIFS(VEND[Monto Cotizado
($/Unid)],VEND[Estado/ Ciudad],'INDICADORES (A)'!B29,VEND[Mes
Cotizacion],'INDICADORES (A)'!$J$28)</f>
        <v>0</v>
      </c>
      <c r="K29" s="169">
        <f>SUMIFS(VEND[Monto Cotizado
($/Unid)],VEND[Estado/ Ciudad],'INDICADORES (A)'!B29,VEND[Mes
Cotizacion],'INDICADORES (A)'!$K$28)</f>
        <v>0</v>
      </c>
      <c r="L29" s="169">
        <f>SUMIFS(VEND[Monto Cotizado
($/Unid)],VEND[Estado/ Ciudad],'INDICADORES (A)'!B29,VEND[Mes
Cotizacion],'INDICADORES (A)'!$L$28)</f>
        <v>0</v>
      </c>
      <c r="M29" s="169">
        <f>SUMIFS(VEND[Monto Cotizado
($/Unid)],VEND[Estado/ Ciudad],'INDICADORES (A)'!B29,VEND[Mes
Cotizacion],'INDICADORES (A)'!$M$28)</f>
        <v>0</v>
      </c>
      <c r="N29" s="169">
        <f>SUMIFS(VEND[Monto Cotizado
($/Unid)],VEND[Estado/ Ciudad],'INDICADORES (A)'!B29,VEND[Mes
Cotizacion],'INDICADORES (A)'!$N$28)</f>
        <v>0</v>
      </c>
      <c r="Q29" s="37" t="s">
        <v>1409</v>
      </c>
      <c r="R29" s="37">
        <f>COUNTIFS(VEND[Estado/ Ciudad],'INDICADORES (A)'!Q29,VEND[Mes
Cotizacion],'INDICADORES (A)'!$R$28)</f>
        <v>12</v>
      </c>
      <c r="S29" s="37">
        <f>COUNTIFS(VEND[Estado/ Ciudad],'INDICADORES (A)'!Q29,VEND[Mes
Cotizacion],'INDICADORES (A)'!$S$28)</f>
        <v>16</v>
      </c>
      <c r="T29" s="37">
        <f>COUNTIFS(VEND[Estado/ Ciudad],'INDICADORES (A)'!Q29,VEND[Mes
Cotizacion],'INDICADORES (A)'!$T$28)</f>
        <v>31</v>
      </c>
      <c r="U29" s="37">
        <f>COUNTIFS(VEND[Estado/ Ciudad],'INDICADORES (A)'!Q29,VEND[Mes
Cotizacion],'INDICADORES (A)'!$U$28)</f>
        <v>54</v>
      </c>
      <c r="V29" s="37">
        <f>COUNTIFS(VEND[Estado/ Ciudad],'INDICADORES (A)'!Q29,VEND[Mes
Cotizacion],'INDICADORES (A)'!$V$28)</f>
        <v>64</v>
      </c>
      <c r="W29" s="37">
        <f>COUNTIFS(VEND[Estado/ Ciudad],'INDICADORES (A)'!Q29,VEND[Mes
Cotizacion],'INDICADORES (A)'!$W$28)</f>
        <v>38</v>
      </c>
      <c r="X29" s="37">
        <f>COUNTIFS(VEND[Estado/ Ciudad],'INDICADORES (A)'!Q29,VEND[Mes
Cotizacion],'INDICADORES (A)'!$X$28)</f>
        <v>0</v>
      </c>
      <c r="Y29" s="37">
        <f>COUNTIFS(VEND[Estado/ Ciudad],'INDICADORES (A)'!Q29,VEND[Mes
Cotizacion],'INDICADORES (A)'!$Y$28)</f>
        <v>0</v>
      </c>
      <c r="Z29" s="37">
        <f>COUNTIFS(VEND[Estado/ Ciudad],'INDICADORES (A)'!Q29,VEND[Mes
Cotizacion],'INDICADORES (A)'!$Z$28)</f>
        <v>0</v>
      </c>
      <c r="AA29" s="37">
        <f>COUNTIFS(VEND[Estado/ Ciudad],'INDICADORES (A)'!Q29,VEND[Mes
Cotizacion],'INDICADORES (A)'!$AA$28)</f>
        <v>0</v>
      </c>
      <c r="AB29" s="37">
        <f>COUNTIFS(VEND[Estado/ Ciudad],'INDICADORES (A)'!Q29,VEND[Mes
Cotizacion],'INDICADORES (A)'!$AB$28)</f>
        <v>0</v>
      </c>
      <c r="AC29" s="37">
        <f>COUNTIFS(VEND[Estado/ Ciudad],'INDICADORES (A)'!Q29,VEND[Mes
Cotizacion],'INDICADORES (A)'!$AC$28)</f>
        <v>0</v>
      </c>
    </row>
    <row r="30" spans="1:29" s="37" customFormat="1" x14ac:dyDescent="0.25">
      <c r="A30" s="210"/>
      <c r="B30" s="173" t="s">
        <v>1401</v>
      </c>
      <c r="C30" s="169">
        <f>SUMIFS(VEND[Monto Cotizado
($/Unid)],VEND[Estado/ Ciudad],'INDICADORES (A)'!B30,VEND[Mes
Cotizacion],'INDICADORES (A)'!$C$28)</f>
        <v>0</v>
      </c>
      <c r="D30" s="169">
        <f>SUMIFS(VEND[Monto Cotizado
($/Unid)],VEND[Estado/ Ciudad],'INDICADORES (A)'!B30,VEND[Mes
Cotizacion],'INDICADORES (A)'!$D$28)</f>
        <v>255302.90000000002</v>
      </c>
      <c r="E30" s="169">
        <f>SUMIFS(VEND[Monto Cotizado
($/Unid)],VEND[Estado/ Ciudad],'INDICADORES (A)'!B30,VEND[Mes
Cotizacion],'INDICADORES (A)'!E$28)</f>
        <v>150502</v>
      </c>
      <c r="F30" s="169">
        <f>SUMIFS(VEND[Monto Cotizado
($/Unid)],VEND[Estado/ Ciudad],'INDICADORES (A)'!B30,VEND[Mes
Cotizacion],'INDICADORES (A)'!$F$28)</f>
        <v>126683.091</v>
      </c>
      <c r="G30" s="169">
        <f>SUMIFS(VEND[Monto Cotizado
($/Unid)],VEND[Estado/ Ciudad],'INDICADORES (A)'!B30,VEND[Mes
Cotizacion],'INDICADORES (A)'!$G$28)</f>
        <v>248064.69999999995</v>
      </c>
      <c r="H30" s="169">
        <f>SUMIFS(VEND[Monto Cotizado
($/Unid)],VEND[Estado/ Ciudad],'INDICADORES (A)'!B30,VEND[Mes
Cotizacion],'INDICADORES (A)'!$H$28)</f>
        <v>244821.89</v>
      </c>
      <c r="I30" s="169">
        <f>SUMIFS(VEND[Monto Cotizado
($/Unid)],VEND[Estado/ Ciudad],'INDICADORES (A)'!B30,VEND[Mes
Cotizacion],'INDICADORES (A)'!I29)</f>
        <v>0</v>
      </c>
      <c r="J30" s="169">
        <f>SUMIFS(VEND[Monto Cotizado
($/Unid)],VEND[Estado/ Ciudad],'INDICADORES (A)'!B30,VEND[Mes
Cotizacion],'INDICADORES (A)'!$J$28)</f>
        <v>0</v>
      </c>
      <c r="K30" s="169">
        <f>SUMIFS(VEND[Monto Cotizado
($/Unid)],VEND[Estado/ Ciudad],'INDICADORES (A)'!B30,VEND[Mes
Cotizacion],'INDICADORES (A)'!$K$28)</f>
        <v>0</v>
      </c>
      <c r="L30" s="169">
        <f>SUMIFS(VEND[Monto Cotizado
($/Unid)],VEND[Estado/ Ciudad],'INDICADORES (A)'!B30,VEND[Mes
Cotizacion],'INDICADORES (A)'!$L$28)</f>
        <v>0</v>
      </c>
      <c r="M30" s="169">
        <f>SUMIFS(VEND[Monto Cotizado
($/Unid)],VEND[Estado/ Ciudad],'INDICADORES (A)'!B30,VEND[Mes
Cotizacion],'INDICADORES (A)'!$M$28)</f>
        <v>0</v>
      </c>
      <c r="N30" s="169">
        <f>SUMIFS(VEND[Monto Cotizado
($/Unid)],VEND[Estado/ Ciudad],'INDICADORES (A)'!B30,VEND[Mes
Cotizacion],'INDICADORES (A)'!$N$28)</f>
        <v>0</v>
      </c>
      <c r="Q30" s="37" t="s">
        <v>1401</v>
      </c>
      <c r="R30" s="37">
        <f>COUNTIFS(VEND[Estado/ Ciudad],'INDICADORES (A)'!Q30,VEND[Mes
Cotizacion],'INDICADORES (A)'!$R$28)</f>
        <v>0</v>
      </c>
      <c r="S30" s="37">
        <f>COUNTIFS(VEND[Estado/ Ciudad],'INDICADORES (A)'!Q30,VEND[Mes
Cotizacion],'INDICADORES (A)'!$S$28)</f>
        <v>8</v>
      </c>
      <c r="T30" s="37">
        <f>COUNTIFS(VEND[Estado/ Ciudad],'INDICADORES (A)'!Q30,VEND[Mes
Cotizacion],'INDICADORES (A)'!$T$28)</f>
        <v>34</v>
      </c>
      <c r="U30" s="37">
        <f>COUNTIFS(VEND[Estado/ Ciudad],'INDICADORES (A)'!Q30,VEND[Mes
Cotizacion],'INDICADORES (A)'!$U$28)</f>
        <v>38</v>
      </c>
      <c r="V30" s="37">
        <f>COUNTIFS(VEND[Estado/ Ciudad],'INDICADORES (A)'!Q30,VEND[Mes
Cotizacion],'INDICADORES (A)'!$V$28)</f>
        <v>48</v>
      </c>
      <c r="W30" s="37">
        <f>COUNTIFS(VEND[Estado/ Ciudad],'INDICADORES (A)'!Q30,VEND[Mes
Cotizacion],'INDICADORES (A)'!$W$28)</f>
        <v>34</v>
      </c>
      <c r="X30" s="37">
        <f>COUNTIFS(VEND[Estado/ Ciudad],'INDICADORES (A)'!Q30,VEND[Mes
Cotizacion],'INDICADORES (A)'!$X$28)</f>
        <v>0</v>
      </c>
      <c r="Y30" s="37">
        <f>COUNTIFS(VEND[Estado/ Ciudad],'INDICADORES (A)'!Q30,VEND[Mes
Cotizacion],'INDICADORES (A)'!$Y$28)</f>
        <v>0</v>
      </c>
      <c r="Z30" s="37">
        <f>COUNTIFS(VEND[Estado/ Ciudad],'INDICADORES (A)'!Q30,VEND[Mes
Cotizacion],'INDICADORES (A)'!$Z$28)</f>
        <v>0</v>
      </c>
      <c r="AA30" s="37">
        <f>COUNTIFS(VEND[Estado/ Ciudad],'INDICADORES (A)'!Q30,VEND[Mes
Cotizacion],'INDICADORES (A)'!$AA$28)</f>
        <v>0</v>
      </c>
      <c r="AB30" s="37">
        <f>COUNTIFS(VEND[Estado/ Ciudad],'INDICADORES (A)'!Q30,VEND[Mes
Cotizacion],'INDICADORES (A)'!$AB$28)</f>
        <v>0</v>
      </c>
      <c r="AC30" s="37">
        <f>COUNTIFS(VEND[Estado/ Ciudad],'INDICADORES (A)'!Q30,VEND[Mes
Cotizacion],'INDICADORES (A)'!$AC$28)</f>
        <v>0</v>
      </c>
    </row>
    <row r="31" spans="1:29" s="37" customFormat="1" x14ac:dyDescent="0.25">
      <c r="A31" s="210"/>
      <c r="B31" s="173" t="s">
        <v>1402</v>
      </c>
      <c r="C31" s="169">
        <f>SUMIFS(VEND[Monto Cotizado
($/Unid)],VEND[Estado/ Ciudad],'INDICADORES (A)'!B31,VEND[Mes
Cotizacion],'INDICADORES (A)'!$C$28)</f>
        <v>0</v>
      </c>
      <c r="D31" s="169">
        <f>SUMIFS(VEND[Monto Cotizado
($/Unid)],VEND[Estado/ Ciudad],'INDICADORES (A)'!B31,VEND[Mes
Cotizacion],'INDICADORES (A)'!$D$28)</f>
        <v>11093.259999999998</v>
      </c>
      <c r="E31" s="169">
        <f>SUMIFS(VEND[Monto Cotizado
($/Unid)],VEND[Estado/ Ciudad],'INDICADORES (A)'!B31,VEND[Mes
Cotizacion],'INDICADORES (A)'!E$28)</f>
        <v>71799.659999999989</v>
      </c>
      <c r="F31" s="169">
        <f>SUMIFS(VEND[Monto Cotizado
($/Unid)],VEND[Estado/ Ciudad],'INDICADORES (A)'!B31,VEND[Mes
Cotizacion],'INDICADORES (A)'!$F$28)</f>
        <v>680489.04</v>
      </c>
      <c r="G31" s="169">
        <f>SUMIFS(VEND[Monto Cotizado
($/Unid)],VEND[Estado/ Ciudad],'INDICADORES (A)'!B31,VEND[Mes
Cotizacion],'INDICADORES (A)'!$G$28)</f>
        <v>445751.67</v>
      </c>
      <c r="H31" s="169">
        <f>SUMIFS(VEND[Monto Cotizado
($/Unid)],VEND[Estado/ Ciudad],'INDICADORES (A)'!B31,VEND[Mes
Cotizacion],'INDICADORES (A)'!$H$28)</f>
        <v>288366.44</v>
      </c>
      <c r="I31" s="169">
        <f>SUMIFS(VEND[Monto Cotizado
($/Unid)],VEND[Estado/ Ciudad],'INDICADORES (A)'!B31,VEND[Mes
Cotizacion],'INDICADORES (A)'!I30)</f>
        <v>0</v>
      </c>
      <c r="J31" s="169">
        <f>SUMIFS(VEND[Monto Cotizado
($/Unid)],VEND[Estado/ Ciudad],'INDICADORES (A)'!B31,VEND[Mes
Cotizacion],'INDICADORES (A)'!$J$28)</f>
        <v>0</v>
      </c>
      <c r="K31" s="169">
        <f>SUMIFS(VEND[Monto Cotizado
($/Unid)],VEND[Estado/ Ciudad],'INDICADORES (A)'!B31,VEND[Mes
Cotizacion],'INDICADORES (A)'!$K$28)</f>
        <v>0</v>
      </c>
      <c r="L31" s="169">
        <f>SUMIFS(VEND[Monto Cotizado
($/Unid)],VEND[Estado/ Ciudad],'INDICADORES (A)'!B31,VEND[Mes
Cotizacion],'INDICADORES (A)'!$L$28)</f>
        <v>0</v>
      </c>
      <c r="M31" s="169">
        <f>SUMIFS(VEND[Monto Cotizado
($/Unid)],VEND[Estado/ Ciudad],'INDICADORES (A)'!B31,VEND[Mes
Cotizacion],'INDICADORES (A)'!$M$28)</f>
        <v>0</v>
      </c>
      <c r="N31" s="169">
        <f>SUMIFS(VEND[Monto Cotizado
($/Unid)],VEND[Estado/ Ciudad],'INDICADORES (A)'!B31,VEND[Mes
Cotizacion],'INDICADORES (A)'!$N$28)</f>
        <v>0</v>
      </c>
      <c r="Q31" s="37" t="s">
        <v>1402</v>
      </c>
      <c r="R31" s="37">
        <f>COUNTIFS(VEND[Estado/ Ciudad],'INDICADORES (A)'!Q31,VEND[Mes
Cotizacion],'INDICADORES (A)'!$R$28)</f>
        <v>0</v>
      </c>
      <c r="S31" s="37">
        <f>COUNTIFS(VEND[Estado/ Ciudad],'INDICADORES (A)'!Q31,VEND[Mes
Cotizacion],'INDICADORES (A)'!$S$28)</f>
        <v>7</v>
      </c>
      <c r="T31" s="37">
        <f>COUNTIFS(VEND[Estado/ Ciudad],'INDICADORES (A)'!Q31,VEND[Mes
Cotizacion],'INDICADORES (A)'!$T$28)</f>
        <v>39</v>
      </c>
      <c r="U31" s="37">
        <f>COUNTIFS(VEND[Estado/ Ciudad],'INDICADORES (A)'!Q31,VEND[Mes
Cotizacion],'INDICADORES (A)'!$U$28)</f>
        <v>46</v>
      </c>
      <c r="V31" s="37">
        <f>COUNTIFS(VEND[Estado/ Ciudad],'INDICADORES (A)'!Q31,VEND[Mes
Cotizacion],'INDICADORES (A)'!$V$28)</f>
        <v>69</v>
      </c>
      <c r="W31" s="37">
        <f>COUNTIFS(VEND[Estado/ Ciudad],'INDICADORES (A)'!Q31,VEND[Mes
Cotizacion],'INDICADORES (A)'!$W$28)</f>
        <v>54</v>
      </c>
      <c r="X31" s="37">
        <f>COUNTIFS(VEND[Estado/ Ciudad],'INDICADORES (A)'!Q31,VEND[Mes
Cotizacion],'INDICADORES (A)'!$X$28)</f>
        <v>0</v>
      </c>
      <c r="Y31" s="37">
        <f>COUNTIFS(VEND[Estado/ Ciudad],'INDICADORES (A)'!Q31,VEND[Mes
Cotizacion],'INDICADORES (A)'!$Y$28)</f>
        <v>0</v>
      </c>
      <c r="Z31" s="37">
        <f>COUNTIFS(VEND[Estado/ Ciudad],'INDICADORES (A)'!Q31,VEND[Mes
Cotizacion],'INDICADORES (A)'!$Z$28)</f>
        <v>0</v>
      </c>
      <c r="AA31" s="37">
        <f>COUNTIFS(VEND[Estado/ Ciudad],'INDICADORES (A)'!Q31,VEND[Mes
Cotizacion],'INDICADORES (A)'!$AA$28)</f>
        <v>0</v>
      </c>
      <c r="AB31" s="37">
        <f>COUNTIFS(VEND[Estado/ Ciudad],'INDICADORES (A)'!Q31,VEND[Mes
Cotizacion],'INDICADORES (A)'!$AB$28)</f>
        <v>0</v>
      </c>
      <c r="AC31" s="37">
        <f>COUNTIFS(VEND[Estado/ Ciudad],'INDICADORES (A)'!Q31,VEND[Mes
Cotizacion],'INDICADORES (A)'!$AC$28)</f>
        <v>0</v>
      </c>
    </row>
    <row r="32" spans="1:29" s="37" customFormat="1" x14ac:dyDescent="0.25">
      <c r="A32" s="210"/>
      <c r="B32" s="173" t="s">
        <v>1405</v>
      </c>
      <c r="C32" s="169">
        <f>SUMIFS(VEND[Monto Cotizado
($/Unid)],VEND[Estado/ Ciudad],'INDICADORES (A)'!B32,VEND[Mes
Cotizacion],'INDICADORES (A)'!$C$28)</f>
        <v>0</v>
      </c>
      <c r="D32" s="169">
        <f>SUMIFS(VEND[Monto Cotizado
($/Unid)],VEND[Estado/ Ciudad],'INDICADORES (A)'!B32,VEND[Mes
Cotizacion],'INDICADORES (A)'!$D$28)</f>
        <v>46493.270000000004</v>
      </c>
      <c r="E32" s="169">
        <f>SUMIFS(VEND[Monto Cotizado
($/Unid)],VEND[Estado/ Ciudad],'INDICADORES (A)'!B32,VEND[Mes
Cotizacion],'INDICADORES (A)'!E$28)</f>
        <v>3150</v>
      </c>
      <c r="F32" s="169">
        <f>SUMIFS(VEND[Monto Cotizado
($/Unid)],VEND[Estado/ Ciudad],'INDICADORES (A)'!B32,VEND[Mes
Cotizacion],'INDICADORES (A)'!$F$28)</f>
        <v>66989.83</v>
      </c>
      <c r="G32" s="169">
        <f>SUMIFS(VEND[Monto Cotizado
($/Unid)],VEND[Estado/ Ciudad],'INDICADORES (A)'!B32,VEND[Mes
Cotizacion],'INDICADORES (A)'!$G$28)</f>
        <v>1808.26</v>
      </c>
      <c r="H32" s="169">
        <f>SUMIFS(VEND[Monto Cotizado
($/Unid)],VEND[Estado/ Ciudad],'INDICADORES (A)'!B32,VEND[Mes
Cotizacion],'INDICADORES (A)'!$H$28)</f>
        <v>8235.49</v>
      </c>
      <c r="I32" s="169">
        <f>SUMIFS(VEND[Monto Cotizado
($/Unid)],VEND[Estado/ Ciudad],'INDICADORES (A)'!B32,VEND[Mes
Cotizacion],'INDICADORES (A)'!I31)</f>
        <v>0</v>
      </c>
      <c r="J32" s="169">
        <f>SUMIFS(VEND[Monto Cotizado
($/Unid)],VEND[Estado/ Ciudad],'INDICADORES (A)'!B32,VEND[Mes
Cotizacion],'INDICADORES (A)'!$J$28)</f>
        <v>0</v>
      </c>
      <c r="K32" s="169">
        <f>SUMIFS(VEND[Monto Cotizado
($/Unid)],VEND[Estado/ Ciudad],'INDICADORES (A)'!B32,VEND[Mes
Cotizacion],'INDICADORES (A)'!$K$28)</f>
        <v>0</v>
      </c>
      <c r="L32" s="169">
        <f>SUMIFS(VEND[Monto Cotizado
($/Unid)],VEND[Estado/ Ciudad],'INDICADORES (A)'!B32,VEND[Mes
Cotizacion],'INDICADORES (A)'!$L$28)</f>
        <v>0</v>
      </c>
      <c r="M32" s="169">
        <f>SUMIFS(VEND[Monto Cotizado
($/Unid)],VEND[Estado/ Ciudad],'INDICADORES (A)'!B32,VEND[Mes
Cotizacion],'INDICADORES (A)'!$M$28)</f>
        <v>0</v>
      </c>
      <c r="N32" s="169">
        <f>SUMIFS(VEND[Monto Cotizado
($/Unid)],VEND[Estado/ Ciudad],'INDICADORES (A)'!B32,VEND[Mes
Cotizacion],'INDICADORES (A)'!$N$28)</f>
        <v>0</v>
      </c>
      <c r="Q32" s="37" t="s">
        <v>1405</v>
      </c>
      <c r="R32" s="37">
        <f>COUNTIFS(VEND[Estado/ Ciudad],'INDICADORES (A)'!Q32,VEND[Mes
Cotizacion],'INDICADORES (A)'!$R$28)</f>
        <v>0</v>
      </c>
      <c r="S32" s="37">
        <f>COUNTIFS(VEND[Estado/ Ciudad],'INDICADORES (A)'!Q32,VEND[Mes
Cotizacion],'INDICADORES (A)'!$S$28)</f>
        <v>9</v>
      </c>
      <c r="T32" s="37">
        <f>COUNTIFS(VEND[Estado/ Ciudad],'INDICADORES (A)'!Q32,VEND[Mes
Cotizacion],'INDICADORES (A)'!$T$28)</f>
        <v>2</v>
      </c>
      <c r="U32" s="37">
        <f>COUNTIFS(VEND[Estado/ Ciudad],'INDICADORES (A)'!Q32,VEND[Mes
Cotizacion],'INDICADORES (A)'!$U$28)</f>
        <v>2</v>
      </c>
      <c r="V32" s="37">
        <f>COUNTIFS(VEND[Estado/ Ciudad],'INDICADORES (A)'!Q32,VEND[Mes
Cotizacion],'INDICADORES (A)'!$V$28)</f>
        <v>2</v>
      </c>
      <c r="W32" s="37">
        <f>COUNTIFS(VEND[Estado/ Ciudad],'INDICADORES (A)'!Q32,VEND[Mes
Cotizacion],'INDICADORES (A)'!$W$28)</f>
        <v>10</v>
      </c>
      <c r="X32" s="37">
        <f>COUNTIFS(VEND[Estado/ Ciudad],'INDICADORES (A)'!Q32,VEND[Mes
Cotizacion],'INDICADORES (A)'!$X$28)</f>
        <v>0</v>
      </c>
      <c r="Y32" s="37">
        <f>COUNTIFS(VEND[Estado/ Ciudad],'INDICADORES (A)'!Q32,VEND[Mes
Cotizacion],'INDICADORES (A)'!$Y$28)</f>
        <v>0</v>
      </c>
      <c r="Z32" s="37">
        <f>COUNTIFS(VEND[Estado/ Ciudad],'INDICADORES (A)'!Q32,VEND[Mes
Cotizacion],'INDICADORES (A)'!$Z$28)</f>
        <v>0</v>
      </c>
      <c r="AA32" s="37">
        <f>COUNTIFS(VEND[Estado/ Ciudad],'INDICADORES (A)'!Q32,VEND[Mes
Cotizacion],'INDICADORES (A)'!$AA$28)</f>
        <v>0</v>
      </c>
      <c r="AB32" s="37">
        <f>COUNTIFS(VEND[Estado/ Ciudad],'INDICADORES (A)'!Q32,VEND[Mes
Cotizacion],'INDICADORES (A)'!$AB$28)</f>
        <v>0</v>
      </c>
      <c r="AC32" s="37">
        <f>COUNTIFS(VEND[Estado/ Ciudad],'INDICADORES (A)'!Q32,VEND[Mes
Cotizacion],'INDICADORES (A)'!$AC$28)</f>
        <v>0</v>
      </c>
    </row>
    <row r="33" spans="1:29" s="37" customFormat="1" x14ac:dyDescent="0.25">
      <c r="A33" s="210"/>
      <c r="B33" s="173" t="s">
        <v>1407</v>
      </c>
      <c r="C33" s="169">
        <f>SUMIFS(VEND[Monto Cotizado
($/Unid)],VEND[Estado/ Ciudad],'INDICADORES (A)'!B33,VEND[Mes
Cotizacion],'INDICADORES (A)'!$C$28)</f>
        <v>0</v>
      </c>
      <c r="D33" s="169">
        <f>SUMIFS(VEND[Monto Cotizado
($/Unid)],VEND[Estado/ Ciudad],'INDICADORES (A)'!B33,VEND[Mes
Cotizacion],'INDICADORES (A)'!$D$28)</f>
        <v>0</v>
      </c>
      <c r="E33" s="169">
        <f>SUMIFS(VEND[Monto Cotizado
($/Unid)],VEND[Estado/ Ciudad],'INDICADORES (A)'!B33,VEND[Mes
Cotizacion],'INDICADORES (A)'!E$28)</f>
        <v>13308.34</v>
      </c>
      <c r="F33" s="169">
        <f>SUMIFS(VEND[Monto Cotizado
($/Unid)],VEND[Estado/ Ciudad],'INDICADORES (A)'!B33,VEND[Mes
Cotizacion],'INDICADORES (A)'!$F$28)</f>
        <v>827.62</v>
      </c>
      <c r="G33" s="169">
        <f>SUMIFS(VEND[Monto Cotizado
($/Unid)],VEND[Estado/ Ciudad],'INDICADORES (A)'!B33,VEND[Mes
Cotizacion],'INDICADORES (A)'!$G$28)</f>
        <v>26360.86</v>
      </c>
      <c r="H33" s="169">
        <f>SUMIFS(VEND[Monto Cotizado
($/Unid)],VEND[Estado/ Ciudad],'INDICADORES (A)'!B33,VEND[Mes
Cotizacion],'INDICADORES (A)'!$H$28)</f>
        <v>20778.650000000001</v>
      </c>
      <c r="I33" s="169">
        <f>SUMIFS(VEND[Monto Cotizado
($/Unid)],VEND[Estado/ Ciudad],'INDICADORES (A)'!B33,VEND[Mes
Cotizacion],'INDICADORES (A)'!I32)</f>
        <v>0</v>
      </c>
      <c r="J33" s="169">
        <f>SUMIFS(VEND[Monto Cotizado
($/Unid)],VEND[Estado/ Ciudad],'INDICADORES (A)'!B33,VEND[Mes
Cotizacion],'INDICADORES (A)'!$J$28)</f>
        <v>0</v>
      </c>
      <c r="K33" s="169">
        <f>SUMIFS(VEND[Monto Cotizado
($/Unid)],VEND[Estado/ Ciudad],'INDICADORES (A)'!B33,VEND[Mes
Cotizacion],'INDICADORES (A)'!$K$28)</f>
        <v>0</v>
      </c>
      <c r="L33" s="169">
        <f>SUMIFS(VEND[Monto Cotizado
($/Unid)],VEND[Estado/ Ciudad],'INDICADORES (A)'!B33,VEND[Mes
Cotizacion],'INDICADORES (A)'!$L$28)</f>
        <v>0</v>
      </c>
      <c r="M33" s="169">
        <f>SUMIFS(VEND[Monto Cotizado
($/Unid)],VEND[Estado/ Ciudad],'INDICADORES (A)'!B33,VEND[Mes
Cotizacion],'INDICADORES (A)'!$M$28)</f>
        <v>0</v>
      </c>
      <c r="N33" s="169">
        <f>SUMIFS(VEND[Monto Cotizado
($/Unid)],VEND[Estado/ Ciudad],'INDICADORES (A)'!B33,VEND[Mes
Cotizacion],'INDICADORES (A)'!$N$28)</f>
        <v>0</v>
      </c>
      <c r="Q33" s="37" t="s">
        <v>1407</v>
      </c>
      <c r="R33" s="37">
        <f>COUNTIFS(VEND[Estado/ Ciudad],'INDICADORES (A)'!Q33,VEND[Mes
Cotizacion],'INDICADORES (A)'!$R$28)</f>
        <v>0</v>
      </c>
      <c r="S33" s="37">
        <f>COUNTIFS(VEND[Estado/ Ciudad],'INDICADORES (A)'!Q33,VEND[Mes
Cotizacion],'INDICADORES (A)'!$S$28)</f>
        <v>0</v>
      </c>
      <c r="T33" s="37">
        <f>COUNTIFS(VEND[Estado/ Ciudad],'INDICADORES (A)'!Q33,VEND[Mes
Cotizacion],'INDICADORES (A)'!$T$28)</f>
        <v>5</v>
      </c>
      <c r="U33" s="37">
        <f>COUNTIFS(VEND[Estado/ Ciudad],'INDICADORES (A)'!Q33,VEND[Mes
Cotizacion],'INDICADORES (A)'!$U$28)</f>
        <v>3</v>
      </c>
      <c r="V33" s="37">
        <f>COUNTIFS(VEND[Estado/ Ciudad],'INDICADORES (A)'!Q33,VEND[Mes
Cotizacion],'INDICADORES (A)'!$V$28)</f>
        <v>6</v>
      </c>
      <c r="W33" s="37">
        <f>COUNTIFS(VEND[Estado/ Ciudad],'INDICADORES (A)'!Q33,VEND[Mes
Cotizacion],'INDICADORES (A)'!$W$28)</f>
        <v>3</v>
      </c>
      <c r="X33" s="37">
        <f>COUNTIFS(VEND[Estado/ Ciudad],'INDICADORES (A)'!Q33,VEND[Mes
Cotizacion],'INDICADORES (A)'!$X$28)</f>
        <v>0</v>
      </c>
      <c r="Y33" s="37">
        <f>COUNTIFS(VEND[Estado/ Ciudad],'INDICADORES (A)'!Q33,VEND[Mes
Cotizacion],'INDICADORES (A)'!$Y$28)</f>
        <v>0</v>
      </c>
      <c r="Z33" s="37">
        <f>COUNTIFS(VEND[Estado/ Ciudad],'INDICADORES (A)'!Q33,VEND[Mes
Cotizacion],'INDICADORES (A)'!$Z$28)</f>
        <v>0</v>
      </c>
      <c r="AA33" s="37">
        <f>COUNTIFS(VEND[Estado/ Ciudad],'INDICADORES (A)'!Q33,VEND[Mes
Cotizacion],'INDICADORES (A)'!$AA$28)</f>
        <v>0</v>
      </c>
      <c r="AB33" s="37">
        <f>COUNTIFS(VEND[Estado/ Ciudad],'INDICADORES (A)'!Q33,VEND[Mes
Cotizacion],'INDICADORES (A)'!$AB$28)</f>
        <v>0</v>
      </c>
      <c r="AC33" s="37">
        <f>COUNTIFS(VEND[Estado/ Ciudad],'INDICADORES (A)'!Q33,VEND[Mes
Cotizacion],'INDICADORES (A)'!$AC$28)</f>
        <v>0</v>
      </c>
    </row>
    <row r="34" spans="1:29" s="37" customFormat="1" x14ac:dyDescent="0.25">
      <c r="A34" s="210"/>
      <c r="B34" s="173" t="s">
        <v>1403</v>
      </c>
      <c r="C34" s="169">
        <f>SUMIFS(VEND[Monto Cotizado
($/Unid)],VEND[Estado/ Ciudad],'INDICADORES (A)'!B34,VEND[Mes
Cotizacion],'INDICADORES (A)'!$C$28)</f>
        <v>0</v>
      </c>
      <c r="D34" s="169">
        <f>SUMIFS(VEND[Monto Cotizado
($/Unid)],VEND[Estado/ Ciudad],'INDICADORES (A)'!B34,VEND[Mes
Cotizacion],'INDICADORES (A)'!$D$28)</f>
        <v>0</v>
      </c>
      <c r="E34" s="169">
        <f>SUMIFS(VEND[Monto Cotizado
($/Unid)],VEND[Estado/ Ciudad],'INDICADORES (A)'!B34,VEND[Mes
Cotizacion],'INDICADORES (A)'!E$28)</f>
        <v>10055.77</v>
      </c>
      <c r="F34" s="169">
        <f>SUMIFS(VEND[Monto Cotizado
($/Unid)],VEND[Estado/ Ciudad],'INDICADORES (A)'!B34,VEND[Mes
Cotizacion],'INDICADORES (A)'!$F$28)</f>
        <v>12106.09</v>
      </c>
      <c r="G34" s="169">
        <f>SUMIFS(VEND[Monto Cotizado
($/Unid)],VEND[Estado/ Ciudad],'INDICADORES (A)'!B34,VEND[Mes
Cotizacion],'INDICADORES (A)'!$G$28)</f>
        <v>0</v>
      </c>
      <c r="H34" s="169">
        <f>SUMIFS(VEND[Monto Cotizado
($/Unid)],VEND[Estado/ Ciudad],'INDICADORES (A)'!B34,VEND[Mes
Cotizacion],'INDICADORES (A)'!$H$28)</f>
        <v>0</v>
      </c>
      <c r="I34" s="169">
        <f>SUMIFS(VEND[Monto Cotizado
($/Unid)],VEND[Estado/ Ciudad],'INDICADORES (A)'!B34,VEND[Mes
Cotizacion],'INDICADORES (A)'!I33)</f>
        <v>0</v>
      </c>
      <c r="J34" s="169">
        <f>SUMIFS(VEND[Monto Cotizado
($/Unid)],VEND[Estado/ Ciudad],'INDICADORES (A)'!B34,VEND[Mes
Cotizacion],'INDICADORES (A)'!$J$28)</f>
        <v>0</v>
      </c>
      <c r="K34" s="169">
        <f>SUMIFS(VEND[Monto Cotizado
($/Unid)],VEND[Estado/ Ciudad],'INDICADORES (A)'!B34,VEND[Mes
Cotizacion],'INDICADORES (A)'!$K$28)</f>
        <v>0</v>
      </c>
      <c r="L34" s="169">
        <f>SUMIFS(VEND[Monto Cotizado
($/Unid)],VEND[Estado/ Ciudad],'INDICADORES (A)'!B34,VEND[Mes
Cotizacion],'INDICADORES (A)'!$L$28)</f>
        <v>0</v>
      </c>
      <c r="M34" s="169">
        <f>SUMIFS(VEND[Monto Cotizado
($/Unid)],VEND[Estado/ Ciudad],'INDICADORES (A)'!B34,VEND[Mes
Cotizacion],'INDICADORES (A)'!$M$28)</f>
        <v>0</v>
      </c>
      <c r="N34" s="169">
        <f>SUMIFS(VEND[Monto Cotizado
($/Unid)],VEND[Estado/ Ciudad],'INDICADORES (A)'!B34,VEND[Mes
Cotizacion],'INDICADORES (A)'!$N$28)</f>
        <v>0</v>
      </c>
      <c r="Q34" s="37" t="s">
        <v>1403</v>
      </c>
      <c r="R34" s="37">
        <f>COUNTIFS(VEND[Estado/ Ciudad],'INDICADORES (A)'!Q34,VEND[Mes
Cotizacion],'INDICADORES (A)'!$R$28)</f>
        <v>0</v>
      </c>
      <c r="S34" s="37">
        <f>COUNTIFS(VEND[Estado/ Ciudad],'INDICADORES (A)'!Q34,VEND[Mes
Cotizacion],'INDICADORES (A)'!$S$28)</f>
        <v>0</v>
      </c>
      <c r="T34" s="37">
        <f>COUNTIFS(VEND[Estado/ Ciudad],'INDICADORES (A)'!Q34,VEND[Mes
Cotizacion],'INDICADORES (A)'!$T$28)</f>
        <v>5</v>
      </c>
      <c r="U34" s="37">
        <f>COUNTIFS(VEND[Estado/ Ciudad],'INDICADORES (A)'!Q34,VEND[Mes
Cotizacion],'INDICADORES (A)'!$U$28)</f>
        <v>10</v>
      </c>
      <c r="V34" s="37">
        <f>COUNTIFS(VEND[Estado/ Ciudad],'INDICADORES (A)'!Q34,VEND[Mes
Cotizacion],'INDICADORES (A)'!$V$28)</f>
        <v>0</v>
      </c>
      <c r="W34" s="37">
        <f>COUNTIFS(VEND[Estado/ Ciudad],'INDICADORES (A)'!Q34,VEND[Mes
Cotizacion],'INDICADORES (A)'!$W$28)</f>
        <v>0</v>
      </c>
      <c r="X34" s="37">
        <f>COUNTIFS(VEND[Estado/ Ciudad],'INDICADORES (A)'!Q34,VEND[Mes
Cotizacion],'INDICADORES (A)'!$X$28)</f>
        <v>0</v>
      </c>
      <c r="Y34" s="37">
        <f>COUNTIFS(VEND[Estado/ Ciudad],'INDICADORES (A)'!Q34,VEND[Mes
Cotizacion],'INDICADORES (A)'!$Y$28)</f>
        <v>0</v>
      </c>
      <c r="Z34" s="37">
        <f>COUNTIFS(VEND[Estado/ Ciudad],'INDICADORES (A)'!Q34,VEND[Mes
Cotizacion],'INDICADORES (A)'!$Z$28)</f>
        <v>0</v>
      </c>
      <c r="AA34" s="37">
        <f>COUNTIFS(VEND[Estado/ Ciudad],'INDICADORES (A)'!Q34,VEND[Mes
Cotizacion],'INDICADORES (A)'!$AA$28)</f>
        <v>0</v>
      </c>
      <c r="AB34" s="37">
        <f>COUNTIFS(VEND[Estado/ Ciudad],'INDICADORES (A)'!Q34,VEND[Mes
Cotizacion],'INDICADORES (A)'!$AB$28)</f>
        <v>0</v>
      </c>
      <c r="AC34" s="37">
        <f>COUNTIFS(VEND[Estado/ Ciudad],'INDICADORES (A)'!Q34,VEND[Mes
Cotizacion],'INDICADORES (A)'!$AC$28)</f>
        <v>0</v>
      </c>
    </row>
    <row r="35" spans="1:29" s="37" customFormat="1" x14ac:dyDescent="0.25">
      <c r="A35" s="210"/>
      <c r="B35" s="173" t="s">
        <v>1411</v>
      </c>
      <c r="C35" s="169">
        <f>SUMIFS(VEND[Monto Cotizado
($/Unid)],VEND[Estado/ Ciudad],'INDICADORES (A)'!B35,VEND[Mes
Cotizacion],'INDICADORES (A)'!$C$28)</f>
        <v>0</v>
      </c>
      <c r="D35" s="169">
        <f>SUMIFS(VEND[Monto Cotizado
($/Unid)],VEND[Estado/ Ciudad],'INDICADORES (A)'!B35,VEND[Mes
Cotizacion],'INDICADORES (A)'!$D$28)</f>
        <v>0</v>
      </c>
      <c r="E35" s="169">
        <f>SUMIFS(VEND[Monto Cotizado
($/Unid)],VEND[Estado/ Ciudad],'INDICADORES (A)'!B35,VEND[Mes
Cotizacion],'INDICADORES (A)'!E$28)</f>
        <v>219</v>
      </c>
      <c r="F35" s="169">
        <f>SUMIFS(VEND[Monto Cotizado
($/Unid)],VEND[Estado/ Ciudad],'INDICADORES (A)'!B35,VEND[Mes
Cotizacion],'INDICADORES (A)'!$F$28)</f>
        <v>0</v>
      </c>
      <c r="G35" s="169">
        <f>SUMIFS(VEND[Monto Cotizado
($/Unid)],VEND[Estado/ Ciudad],'INDICADORES (A)'!B35,VEND[Mes
Cotizacion],'INDICADORES (A)'!$G$28)</f>
        <v>0</v>
      </c>
      <c r="H35" s="169">
        <f>SUMIFS(VEND[Monto Cotizado
($/Unid)],VEND[Estado/ Ciudad],'INDICADORES (A)'!B35,VEND[Mes
Cotizacion],'INDICADORES (A)'!$H$28)</f>
        <v>4515.5</v>
      </c>
      <c r="I35" s="169">
        <f>SUMIFS(VEND[Monto Cotizado
($/Unid)],VEND[Estado/ Ciudad],'INDICADORES (A)'!B35,VEND[Mes
Cotizacion],'INDICADORES (A)'!I34)</f>
        <v>0</v>
      </c>
      <c r="J35" s="169">
        <f>SUMIFS(VEND[Monto Cotizado
($/Unid)],VEND[Estado/ Ciudad],'INDICADORES (A)'!B35,VEND[Mes
Cotizacion],'INDICADORES (A)'!$J$28)</f>
        <v>0</v>
      </c>
      <c r="K35" s="169">
        <f>SUMIFS(VEND[Monto Cotizado
($/Unid)],VEND[Estado/ Ciudad],'INDICADORES (A)'!B35,VEND[Mes
Cotizacion],'INDICADORES (A)'!$K$28)</f>
        <v>0</v>
      </c>
      <c r="L35" s="169">
        <f>SUMIFS(VEND[Monto Cotizado
($/Unid)],VEND[Estado/ Ciudad],'INDICADORES (A)'!B35,VEND[Mes
Cotizacion],'INDICADORES (A)'!$L$28)</f>
        <v>0</v>
      </c>
      <c r="M35" s="169">
        <f>SUMIFS(VEND[Monto Cotizado
($/Unid)],VEND[Estado/ Ciudad],'INDICADORES (A)'!B35,VEND[Mes
Cotizacion],'INDICADORES (A)'!$M$28)</f>
        <v>0</v>
      </c>
      <c r="N35" s="169">
        <f>SUMIFS(VEND[Monto Cotizado
($/Unid)],VEND[Estado/ Ciudad],'INDICADORES (A)'!B35,VEND[Mes
Cotizacion],'INDICADORES (A)'!$N$28)</f>
        <v>0</v>
      </c>
      <c r="Q35" s="37" t="s">
        <v>1411</v>
      </c>
      <c r="R35" s="37">
        <f>COUNTIFS(VEND[Estado/ Ciudad],'INDICADORES (A)'!Q35,VEND[Mes
Cotizacion],'INDICADORES (A)'!$R$28)</f>
        <v>0</v>
      </c>
      <c r="S35" s="37">
        <f>COUNTIFS(VEND[Estado/ Ciudad],'INDICADORES (A)'!Q35,VEND[Mes
Cotizacion],'INDICADORES (A)'!$S$28)</f>
        <v>0</v>
      </c>
      <c r="T35" s="37">
        <f>COUNTIFS(VEND[Estado/ Ciudad],'INDICADORES (A)'!Q35,VEND[Mes
Cotizacion],'INDICADORES (A)'!$T$28)</f>
        <v>1</v>
      </c>
      <c r="U35" s="37">
        <f>COUNTIFS(VEND[Estado/ Ciudad],'INDICADORES (A)'!Q35,VEND[Mes
Cotizacion],'INDICADORES (A)'!$U$28)</f>
        <v>0</v>
      </c>
      <c r="V35" s="37">
        <f>COUNTIFS(VEND[Estado/ Ciudad],'INDICADORES (A)'!Q35,VEND[Mes
Cotizacion],'INDICADORES (A)'!$V$28)</f>
        <v>0</v>
      </c>
      <c r="W35" s="37">
        <f>COUNTIFS(VEND[Estado/ Ciudad],'INDICADORES (A)'!Q35,VEND[Mes
Cotizacion],'INDICADORES (A)'!$W$28)</f>
        <v>1</v>
      </c>
      <c r="X35" s="37">
        <f>COUNTIFS(VEND[Estado/ Ciudad],'INDICADORES (A)'!Q35,VEND[Mes
Cotizacion],'INDICADORES (A)'!$X$28)</f>
        <v>0</v>
      </c>
      <c r="Y35" s="37">
        <f>COUNTIFS(VEND[Estado/ Ciudad],'INDICADORES (A)'!Q35,VEND[Mes
Cotizacion],'INDICADORES (A)'!$Y$28)</f>
        <v>0</v>
      </c>
      <c r="Z35" s="37">
        <f>COUNTIFS(VEND[Estado/ Ciudad],'INDICADORES (A)'!Q35,VEND[Mes
Cotizacion],'INDICADORES (A)'!$Z$28)</f>
        <v>0</v>
      </c>
      <c r="AA35" s="37">
        <f>COUNTIFS(VEND[Estado/ Ciudad],'INDICADORES (A)'!Q35,VEND[Mes
Cotizacion],'INDICADORES (A)'!$AA$28)</f>
        <v>0</v>
      </c>
      <c r="AB35" s="37">
        <f>COUNTIFS(VEND[Estado/ Ciudad],'INDICADORES (A)'!Q35,VEND[Mes
Cotizacion],'INDICADORES (A)'!$AB$28)</f>
        <v>0</v>
      </c>
      <c r="AC35" s="37">
        <f>COUNTIFS(VEND[Estado/ Ciudad],'INDICADORES (A)'!Q35,VEND[Mes
Cotizacion],'INDICADORES (A)'!$AC$28)</f>
        <v>0</v>
      </c>
    </row>
    <row r="36" spans="1:29" s="37" customFormat="1" x14ac:dyDescent="0.25">
      <c r="A36" s="210"/>
      <c r="B36" s="173" t="s">
        <v>1410</v>
      </c>
      <c r="C36" s="169">
        <f>SUMIFS(VEND[Monto Cotizado
($/Unid)],VEND[Estado/ Ciudad],'INDICADORES (A)'!B36,VEND[Mes
Cotizacion],'INDICADORES (A)'!$C$28)</f>
        <v>0</v>
      </c>
      <c r="D36" s="169">
        <f>SUMIFS(VEND[Monto Cotizado
($/Unid)],VEND[Estado/ Ciudad],'INDICADORES (A)'!B36,VEND[Mes
Cotizacion],'INDICADORES (A)'!$D$28)</f>
        <v>0</v>
      </c>
      <c r="E36" s="169">
        <f>SUMIFS(VEND[Monto Cotizado
($/Unid)],VEND[Estado/ Ciudad],'INDICADORES (A)'!B36,VEND[Mes
Cotizacion],'INDICADORES (A)'!E$28)</f>
        <v>7907.25</v>
      </c>
      <c r="F36" s="169">
        <f>SUMIFS(VEND[Monto Cotizado
($/Unid)],VEND[Estado/ Ciudad],'INDICADORES (A)'!B36,VEND[Mes
Cotizacion],'INDICADORES (A)'!$F$28)</f>
        <v>3300.87</v>
      </c>
      <c r="G36" s="169">
        <f>SUMIFS(VEND[Monto Cotizado
($/Unid)],VEND[Estado/ Ciudad],'INDICADORES (A)'!B36,VEND[Mes
Cotizacion],'INDICADORES (A)'!$G$28)</f>
        <v>12798.609999999999</v>
      </c>
      <c r="H36" s="169">
        <f>SUMIFS(VEND[Monto Cotizado
($/Unid)],VEND[Estado/ Ciudad],'INDICADORES (A)'!B36,VEND[Mes
Cotizacion],'INDICADORES (A)'!$H$28)</f>
        <v>70605.929999999993</v>
      </c>
      <c r="I36" s="169">
        <f>SUMIFS(VEND[Monto Cotizado
($/Unid)],VEND[Estado/ Ciudad],'INDICADORES (A)'!B36,VEND[Mes
Cotizacion],'INDICADORES (A)'!I35)</f>
        <v>0</v>
      </c>
      <c r="J36" s="169">
        <f>SUMIFS(VEND[Monto Cotizado
($/Unid)],VEND[Estado/ Ciudad],'INDICADORES (A)'!B36,VEND[Mes
Cotizacion],'INDICADORES (A)'!$J$28)</f>
        <v>0</v>
      </c>
      <c r="K36" s="169">
        <f>SUMIFS(VEND[Monto Cotizado
($/Unid)],VEND[Estado/ Ciudad],'INDICADORES (A)'!B36,VEND[Mes
Cotizacion],'INDICADORES (A)'!$K$28)</f>
        <v>0</v>
      </c>
      <c r="L36" s="169">
        <f>SUMIFS(VEND[Monto Cotizado
($/Unid)],VEND[Estado/ Ciudad],'INDICADORES (A)'!B36,VEND[Mes
Cotizacion],'INDICADORES (A)'!$L$28)</f>
        <v>0</v>
      </c>
      <c r="M36" s="169">
        <f>SUMIFS(VEND[Monto Cotizado
($/Unid)],VEND[Estado/ Ciudad],'INDICADORES (A)'!B36,VEND[Mes
Cotizacion],'INDICADORES (A)'!$M$28)</f>
        <v>0</v>
      </c>
      <c r="N36" s="169">
        <f>SUMIFS(VEND[Monto Cotizado
($/Unid)],VEND[Estado/ Ciudad],'INDICADORES (A)'!B36,VEND[Mes
Cotizacion],'INDICADORES (A)'!$N$28)</f>
        <v>0</v>
      </c>
      <c r="Q36" s="37" t="s">
        <v>1410</v>
      </c>
      <c r="R36" s="37">
        <f>COUNTIFS(VEND[Estado/ Ciudad],'INDICADORES (A)'!Q36,VEND[Mes
Cotizacion],'INDICADORES (A)'!$R$28)</f>
        <v>0</v>
      </c>
      <c r="S36" s="37">
        <f>COUNTIFS(VEND[Estado/ Ciudad],'INDICADORES (A)'!Q36,VEND[Mes
Cotizacion],'INDICADORES (A)'!$S$28)</f>
        <v>0</v>
      </c>
      <c r="T36" s="37">
        <f>COUNTIFS(VEND[Estado/ Ciudad],'INDICADORES (A)'!Q36,VEND[Mes
Cotizacion],'INDICADORES (A)'!$T$28)</f>
        <v>8</v>
      </c>
      <c r="U36" s="37">
        <f>COUNTIFS(VEND[Estado/ Ciudad],'INDICADORES (A)'!Q36,VEND[Mes
Cotizacion],'INDICADORES (A)'!$U$28)</f>
        <v>6</v>
      </c>
      <c r="V36" s="37">
        <f>COUNTIFS(VEND[Estado/ Ciudad],'INDICADORES (A)'!Q36,VEND[Mes
Cotizacion],'INDICADORES (A)'!$V$28)</f>
        <v>11</v>
      </c>
      <c r="W36" s="37">
        <f>COUNTIFS(VEND[Estado/ Ciudad],'INDICADORES (A)'!Q36,VEND[Mes
Cotizacion],'INDICADORES (A)'!$W$28)</f>
        <v>11</v>
      </c>
      <c r="X36" s="37">
        <f>COUNTIFS(VEND[Estado/ Ciudad],'INDICADORES (A)'!Q36,VEND[Mes
Cotizacion],'INDICADORES (A)'!$X$28)</f>
        <v>0</v>
      </c>
      <c r="Y36" s="37">
        <f>COUNTIFS(VEND[Estado/ Ciudad],'INDICADORES (A)'!Q36,VEND[Mes
Cotizacion],'INDICADORES (A)'!$Y$28)</f>
        <v>0</v>
      </c>
      <c r="Z36" s="37">
        <f>COUNTIFS(VEND[Estado/ Ciudad],'INDICADORES (A)'!Q36,VEND[Mes
Cotizacion],'INDICADORES (A)'!$Z$28)</f>
        <v>0</v>
      </c>
      <c r="AA36" s="37">
        <f>COUNTIFS(VEND[Estado/ Ciudad],'INDICADORES (A)'!Q36,VEND[Mes
Cotizacion],'INDICADORES (A)'!$AA$28)</f>
        <v>0</v>
      </c>
      <c r="AB36" s="37">
        <f>COUNTIFS(VEND[Estado/ Ciudad],'INDICADORES (A)'!Q36,VEND[Mes
Cotizacion],'INDICADORES (A)'!$AB$28)</f>
        <v>0</v>
      </c>
      <c r="AC36" s="37">
        <f>COUNTIFS(VEND[Estado/ Ciudad],'INDICADORES (A)'!Q36,VEND[Mes
Cotizacion],'INDICADORES (A)'!$AC$28)</f>
        <v>0</v>
      </c>
    </row>
    <row r="37" spans="1:29" s="37" customFormat="1" x14ac:dyDescent="0.25">
      <c r="A37" s="210"/>
      <c r="B37" s="173" t="s">
        <v>1406</v>
      </c>
      <c r="C37" s="169">
        <f>SUMIFS(VEND[Monto Cotizado
($/Unid)],VEND[Estado/ Ciudad],'INDICADORES (A)'!B37,VEND[Mes
Cotizacion],'INDICADORES (A)'!$C$28)</f>
        <v>0</v>
      </c>
      <c r="D37" s="169">
        <f>SUMIFS(VEND[Monto Cotizado
($/Unid)],VEND[Estado/ Ciudad],'INDICADORES (A)'!B37,VEND[Mes
Cotizacion],'INDICADORES (A)'!$D$28)</f>
        <v>6484.64</v>
      </c>
      <c r="E37" s="169">
        <f>SUMIFS(VEND[Monto Cotizado
($/Unid)],VEND[Estado/ Ciudad],'INDICADORES (A)'!B37,VEND[Mes
Cotizacion],'INDICADORES (A)'!E$28)</f>
        <v>1806.72</v>
      </c>
      <c r="F37" s="169">
        <f>SUMIFS(VEND[Monto Cotizado
($/Unid)],VEND[Estado/ Ciudad],'INDICADORES (A)'!B37,VEND[Mes
Cotizacion],'INDICADORES (A)'!$F$28)</f>
        <v>7480</v>
      </c>
      <c r="G37" s="169">
        <f>SUMIFS(VEND[Monto Cotizado
($/Unid)],VEND[Estado/ Ciudad],'INDICADORES (A)'!B37,VEND[Mes
Cotizacion],'INDICADORES (A)'!$G$28)</f>
        <v>18309.099999999999</v>
      </c>
      <c r="H37" s="169">
        <f>SUMIFS(VEND[Monto Cotizado
($/Unid)],VEND[Estado/ Ciudad],'INDICADORES (A)'!B37,VEND[Mes
Cotizacion],'INDICADORES (A)'!$H$28)</f>
        <v>63939.76</v>
      </c>
      <c r="I37" s="169">
        <f>SUMIFS(VEND[Monto Cotizado
($/Unid)],VEND[Estado/ Ciudad],'INDICADORES (A)'!B37,VEND[Mes
Cotizacion],'INDICADORES (A)'!I36)</f>
        <v>0</v>
      </c>
      <c r="J37" s="169">
        <f>SUMIFS(VEND[Monto Cotizado
($/Unid)],VEND[Estado/ Ciudad],'INDICADORES (A)'!B37,VEND[Mes
Cotizacion],'INDICADORES (A)'!$J$28)</f>
        <v>0</v>
      </c>
      <c r="K37" s="169">
        <f>SUMIFS(VEND[Monto Cotizado
($/Unid)],VEND[Estado/ Ciudad],'INDICADORES (A)'!B37,VEND[Mes
Cotizacion],'INDICADORES (A)'!$K$28)</f>
        <v>0</v>
      </c>
      <c r="L37" s="169">
        <f>SUMIFS(VEND[Monto Cotizado
($/Unid)],VEND[Estado/ Ciudad],'INDICADORES (A)'!B37,VEND[Mes
Cotizacion],'INDICADORES (A)'!$L$28)</f>
        <v>0</v>
      </c>
      <c r="M37" s="169">
        <f>SUMIFS(VEND[Monto Cotizado
($/Unid)],VEND[Estado/ Ciudad],'INDICADORES (A)'!B37,VEND[Mes
Cotizacion],'INDICADORES (A)'!$M$28)</f>
        <v>0</v>
      </c>
      <c r="N37" s="169">
        <f>SUMIFS(VEND[Monto Cotizado
($/Unid)],VEND[Estado/ Ciudad],'INDICADORES (A)'!B37,VEND[Mes
Cotizacion],'INDICADORES (A)'!$N$28)</f>
        <v>0</v>
      </c>
      <c r="Q37" s="37" t="s">
        <v>1406</v>
      </c>
      <c r="R37" s="37">
        <f>COUNTIFS(VEND[Estado/ Ciudad],'INDICADORES (A)'!Q37,VEND[Mes
Cotizacion],'INDICADORES (A)'!$R$28)</f>
        <v>0</v>
      </c>
      <c r="S37" s="37">
        <f>COUNTIFS(VEND[Estado/ Ciudad],'INDICADORES (A)'!Q37,VEND[Mes
Cotizacion],'INDICADORES (A)'!$S$28)</f>
        <v>1</v>
      </c>
      <c r="T37" s="37">
        <f>COUNTIFS(VEND[Estado/ Ciudad],'INDICADORES (A)'!Q37,VEND[Mes
Cotizacion],'INDICADORES (A)'!$T$28)</f>
        <v>3</v>
      </c>
      <c r="U37" s="37">
        <f>COUNTIFS(VEND[Estado/ Ciudad],'INDICADORES (A)'!Q37,VEND[Mes
Cotizacion],'INDICADORES (A)'!$U$28)</f>
        <v>1</v>
      </c>
      <c r="V37" s="37">
        <f>COUNTIFS(VEND[Estado/ Ciudad],'INDICADORES (A)'!Q37,VEND[Mes
Cotizacion],'INDICADORES (A)'!$V$28)</f>
        <v>2</v>
      </c>
      <c r="W37" s="37">
        <f>COUNTIFS(VEND[Estado/ Ciudad],'INDICADORES (A)'!Q37,VEND[Mes
Cotizacion],'INDICADORES (A)'!$W$28)</f>
        <v>5</v>
      </c>
      <c r="X37" s="37">
        <f>COUNTIFS(VEND[Estado/ Ciudad],'INDICADORES (A)'!Q37,VEND[Mes
Cotizacion],'INDICADORES (A)'!$X$28)</f>
        <v>0</v>
      </c>
      <c r="Y37" s="37">
        <f>COUNTIFS(VEND[Estado/ Ciudad],'INDICADORES (A)'!Q37,VEND[Mes
Cotizacion],'INDICADORES (A)'!$Y$28)</f>
        <v>0</v>
      </c>
      <c r="Z37" s="37">
        <f>COUNTIFS(VEND[Estado/ Ciudad],'INDICADORES (A)'!Q37,VEND[Mes
Cotizacion],'INDICADORES (A)'!$Z$28)</f>
        <v>0</v>
      </c>
      <c r="AA37" s="37">
        <f>COUNTIFS(VEND[Estado/ Ciudad],'INDICADORES (A)'!Q37,VEND[Mes
Cotizacion],'INDICADORES (A)'!$AA$28)</f>
        <v>0</v>
      </c>
      <c r="AB37" s="37">
        <f>COUNTIFS(VEND[Estado/ Ciudad],'INDICADORES (A)'!Q37,VEND[Mes
Cotizacion],'INDICADORES (A)'!$AB$28)</f>
        <v>0</v>
      </c>
      <c r="AC37" s="37">
        <f>COUNTIFS(VEND[Estado/ Ciudad],'INDICADORES (A)'!Q37,VEND[Mes
Cotizacion],'INDICADORES (A)'!$AC$28)</f>
        <v>0</v>
      </c>
    </row>
    <row r="38" spans="1:29" s="37" customFormat="1" x14ac:dyDescent="0.25">
      <c r="A38" s="210"/>
      <c r="B38" s="173" t="s">
        <v>1408</v>
      </c>
      <c r="C38" s="169">
        <f>SUMIFS(VEND[Monto Cotizado
($/Unid)],VEND[Estado/ Ciudad],'INDICADORES (A)'!B38,VEND[Mes
Cotizacion],'INDICADORES (A)'!$C$28)</f>
        <v>0</v>
      </c>
      <c r="D38" s="169">
        <f>SUMIFS(VEND[Monto Cotizado
($/Unid)],VEND[Estado/ Ciudad],'INDICADORES (A)'!B38,VEND[Mes
Cotizacion],'INDICADORES (A)'!$D$28)</f>
        <v>0</v>
      </c>
      <c r="E38" s="169">
        <f>SUMIFS(VEND[Monto Cotizado
($/Unid)],VEND[Estado/ Ciudad],'INDICADORES (A)'!B38,VEND[Mes
Cotizacion],'INDICADORES (A)'!E$28)</f>
        <v>0</v>
      </c>
      <c r="F38" s="169">
        <f>SUMIFS(VEND[Monto Cotizado
($/Unid)],VEND[Estado/ Ciudad],'INDICADORES (A)'!B38,VEND[Mes
Cotizacion],'INDICADORES (A)'!$F$28)</f>
        <v>3550.2</v>
      </c>
      <c r="G38" s="169">
        <f>SUMIFS(VEND[Monto Cotizado
($/Unid)],VEND[Estado/ Ciudad],'INDICADORES (A)'!B38,VEND[Mes
Cotizacion],'INDICADORES (A)'!$G$28)</f>
        <v>4840.8</v>
      </c>
      <c r="H38" s="169">
        <f>SUMIFS(VEND[Monto Cotizado
($/Unid)],VEND[Estado/ Ciudad],'INDICADORES (A)'!B38,VEND[Mes
Cotizacion],'INDICADORES (A)'!$H$28)</f>
        <v>0</v>
      </c>
      <c r="I38" s="169">
        <f>SUMIFS(VEND[Monto Cotizado
($/Unid)],VEND[Estado/ Ciudad],'INDICADORES (A)'!B38,VEND[Mes
Cotizacion],'INDICADORES (A)'!I37)</f>
        <v>0</v>
      </c>
      <c r="J38" s="169">
        <f>SUMIFS(VEND[Monto Cotizado
($/Unid)],VEND[Estado/ Ciudad],'INDICADORES (A)'!B38,VEND[Mes
Cotizacion],'INDICADORES (A)'!$J$28)</f>
        <v>0</v>
      </c>
      <c r="K38" s="169">
        <f>SUMIFS(VEND[Monto Cotizado
($/Unid)],VEND[Estado/ Ciudad],'INDICADORES (A)'!B38,VEND[Mes
Cotizacion],'INDICADORES (A)'!$K$28)</f>
        <v>0</v>
      </c>
      <c r="L38" s="169">
        <f>SUMIFS(VEND[Monto Cotizado
($/Unid)],VEND[Estado/ Ciudad],'INDICADORES (A)'!B38,VEND[Mes
Cotizacion],'INDICADORES (A)'!$L$28)</f>
        <v>0</v>
      </c>
      <c r="M38" s="169">
        <f>SUMIFS(VEND[Monto Cotizado
($/Unid)],VEND[Estado/ Ciudad],'INDICADORES (A)'!B38,VEND[Mes
Cotizacion],'INDICADORES (A)'!$M$28)</f>
        <v>0</v>
      </c>
      <c r="N38" s="169">
        <f>SUMIFS(VEND[Monto Cotizado
($/Unid)],VEND[Estado/ Ciudad],'INDICADORES (A)'!B38,VEND[Mes
Cotizacion],'INDICADORES (A)'!$N$28)</f>
        <v>0</v>
      </c>
      <c r="Q38" s="37" t="s">
        <v>1408</v>
      </c>
      <c r="R38" s="37">
        <f>COUNTIFS(VEND[Estado/ Ciudad],'INDICADORES (A)'!Q38,VEND[Mes
Cotizacion],'INDICADORES (A)'!$R$28)</f>
        <v>0</v>
      </c>
      <c r="S38" s="37">
        <f>COUNTIFS(VEND[Estado/ Ciudad],'INDICADORES (A)'!Q38,VEND[Mes
Cotizacion],'INDICADORES (A)'!$S$28)</f>
        <v>0</v>
      </c>
      <c r="T38" s="37">
        <f>COUNTIFS(VEND[Estado/ Ciudad],'INDICADORES (A)'!Q38,VEND[Mes
Cotizacion],'INDICADORES (A)'!$T$28)</f>
        <v>0</v>
      </c>
      <c r="U38" s="37">
        <f>COUNTIFS(VEND[Estado/ Ciudad],'INDICADORES (A)'!Q38,VEND[Mes
Cotizacion],'INDICADORES (A)'!$U$28)</f>
        <v>2</v>
      </c>
      <c r="V38" s="37">
        <f>COUNTIFS(VEND[Estado/ Ciudad],'INDICADORES (A)'!Q38,VEND[Mes
Cotizacion],'INDICADORES (A)'!$V$28)</f>
        <v>1</v>
      </c>
      <c r="W38" s="37">
        <f>COUNTIFS(VEND[Estado/ Ciudad],'INDICADORES (A)'!Q38,VEND[Mes
Cotizacion],'INDICADORES (A)'!$W$28)</f>
        <v>0</v>
      </c>
      <c r="X38" s="37">
        <f>COUNTIFS(VEND[Estado/ Ciudad],'INDICADORES (A)'!Q38,VEND[Mes
Cotizacion],'INDICADORES (A)'!$X$28)</f>
        <v>0</v>
      </c>
      <c r="Y38" s="37">
        <f>COUNTIFS(VEND[Estado/ Ciudad],'INDICADORES (A)'!Q38,VEND[Mes
Cotizacion],'INDICADORES (A)'!$Y$28)</f>
        <v>0</v>
      </c>
      <c r="Z38" s="37">
        <f>COUNTIFS(VEND[Estado/ Ciudad],'INDICADORES (A)'!Q38,VEND[Mes
Cotizacion],'INDICADORES (A)'!$Z$28)</f>
        <v>0</v>
      </c>
      <c r="AA38" s="37">
        <f>COUNTIFS(VEND[Estado/ Ciudad],'INDICADORES (A)'!Q38,VEND[Mes
Cotizacion],'INDICADORES (A)'!$AA$28)</f>
        <v>0</v>
      </c>
      <c r="AB38" s="37">
        <f>COUNTIFS(VEND[Estado/ Ciudad],'INDICADORES (A)'!Q38,VEND[Mes
Cotizacion],'INDICADORES (A)'!$AB$28)</f>
        <v>0</v>
      </c>
      <c r="AC38" s="37">
        <f>COUNTIFS(VEND[Estado/ Ciudad],'INDICADORES (A)'!Q38,VEND[Mes
Cotizacion],'INDICADORES (A)'!$AC$28)</f>
        <v>0</v>
      </c>
    </row>
    <row r="39" spans="1:29" s="37" customFormat="1" x14ac:dyDescent="0.25">
      <c r="A39" s="210"/>
      <c r="B39" s="173" t="s">
        <v>1404</v>
      </c>
      <c r="C39" s="169">
        <f>SUMIFS(VEND[Monto Cotizado
($/Unid)],VEND[Estado/ Ciudad],'INDICADORES (A)'!B39,VEND[Mes
Cotizacion],'INDICADORES (A)'!$C$28)</f>
        <v>0</v>
      </c>
      <c r="D39" s="169">
        <f>SUMIFS(VEND[Monto Cotizado
($/Unid)],VEND[Estado/ Ciudad],'INDICADORES (A)'!B39,VEND[Mes
Cotizacion],'INDICADORES (A)'!$D$28)</f>
        <v>0</v>
      </c>
      <c r="E39" s="169">
        <f>SUMIFS(VEND[Monto Cotizado
($/Unid)],VEND[Estado/ Ciudad],'INDICADORES (A)'!B39,VEND[Mes
Cotizacion],'INDICADORES (A)'!E$28)</f>
        <v>0</v>
      </c>
      <c r="F39" s="169">
        <f>SUMIFS(VEND[Monto Cotizado
($/Unid)],VEND[Estado/ Ciudad],'INDICADORES (A)'!B39,VEND[Mes
Cotizacion],'INDICADORES (A)'!$F$28)</f>
        <v>0</v>
      </c>
      <c r="G39" s="169">
        <f>SUMIFS(VEND[Monto Cotizado
($/Unid)],VEND[Estado/ Ciudad],'INDICADORES (A)'!B39,VEND[Mes
Cotizacion],'INDICADORES (A)'!$G$28)</f>
        <v>26189.919999999998</v>
      </c>
      <c r="H39" s="169">
        <f>SUMIFS(VEND[Monto Cotizado
($/Unid)],VEND[Estado/ Ciudad],'INDICADORES (A)'!B39,VEND[Mes
Cotizacion],'INDICADORES (A)'!$H$28)</f>
        <v>47218.49</v>
      </c>
      <c r="I39" s="169">
        <f>SUMIFS(VEND[Monto Cotizado
($/Unid)],VEND[Estado/ Ciudad],'INDICADORES (A)'!B39,VEND[Mes
Cotizacion],'INDICADORES (A)'!I38)</f>
        <v>0</v>
      </c>
      <c r="J39" s="169">
        <f>SUMIFS(VEND[Monto Cotizado
($/Unid)],VEND[Estado/ Ciudad],'INDICADORES (A)'!B39,VEND[Mes
Cotizacion],'INDICADORES (A)'!$J$28)</f>
        <v>0</v>
      </c>
      <c r="K39" s="169">
        <f>SUMIFS(VEND[Monto Cotizado
($/Unid)],VEND[Estado/ Ciudad],'INDICADORES (A)'!B39,VEND[Mes
Cotizacion],'INDICADORES (A)'!$K$28)</f>
        <v>0</v>
      </c>
      <c r="L39" s="169">
        <f>SUMIFS(VEND[Monto Cotizado
($/Unid)],VEND[Estado/ Ciudad],'INDICADORES (A)'!B39,VEND[Mes
Cotizacion],'INDICADORES (A)'!$L$28)</f>
        <v>0</v>
      </c>
      <c r="M39" s="169">
        <f>SUMIFS(VEND[Monto Cotizado
($/Unid)],VEND[Estado/ Ciudad],'INDICADORES (A)'!B39,VEND[Mes
Cotizacion],'INDICADORES (A)'!$M$28)</f>
        <v>0</v>
      </c>
      <c r="N39" s="169">
        <f>SUMIFS(VEND[Monto Cotizado
($/Unid)],VEND[Estado/ Ciudad],'INDICADORES (A)'!B39,VEND[Mes
Cotizacion],'INDICADORES (A)'!$N$28)</f>
        <v>0</v>
      </c>
      <c r="Q39" s="37" t="s">
        <v>1404</v>
      </c>
      <c r="R39" s="37">
        <f>COUNTIFS(VEND[Estado/ Ciudad],'INDICADORES (A)'!Q39,VEND[Mes
Cotizacion],'INDICADORES (A)'!$R$28)</f>
        <v>0</v>
      </c>
      <c r="S39" s="37">
        <f>COUNTIFS(VEND[Estado/ Ciudad],'INDICADORES (A)'!Q39,VEND[Mes
Cotizacion],'INDICADORES (A)'!$S$28)</f>
        <v>0</v>
      </c>
      <c r="T39" s="37">
        <f>COUNTIFS(VEND[Estado/ Ciudad],'INDICADORES (A)'!Q39,VEND[Mes
Cotizacion],'INDICADORES (A)'!$T$28)</f>
        <v>0</v>
      </c>
      <c r="U39" s="37">
        <f>COUNTIFS(VEND[Estado/ Ciudad],'INDICADORES (A)'!Q39,VEND[Mes
Cotizacion],'INDICADORES (A)'!$U$28)</f>
        <v>0</v>
      </c>
      <c r="V39" s="37">
        <f>COUNTIFS(VEND[Estado/ Ciudad],'INDICADORES (A)'!Q39,VEND[Mes
Cotizacion],'INDICADORES (A)'!$V$28)</f>
        <v>6</v>
      </c>
      <c r="W39" s="37">
        <f>COUNTIFS(VEND[Estado/ Ciudad],'INDICADORES (A)'!Q39,VEND[Mes
Cotizacion],'INDICADORES (A)'!$W$28)</f>
        <v>8</v>
      </c>
      <c r="X39" s="37">
        <f>COUNTIFS(VEND[Estado/ Ciudad],'INDICADORES (A)'!Q39,VEND[Mes
Cotizacion],'INDICADORES (A)'!$X$28)</f>
        <v>0</v>
      </c>
      <c r="Y39" s="37">
        <f>COUNTIFS(VEND[Estado/ Ciudad],'INDICADORES (A)'!Q39,VEND[Mes
Cotizacion],'INDICADORES (A)'!$Y$28)</f>
        <v>0</v>
      </c>
      <c r="Z39" s="37">
        <f>COUNTIFS(VEND[Estado/ Ciudad],'INDICADORES (A)'!Q39,VEND[Mes
Cotizacion],'INDICADORES (A)'!$Z$28)</f>
        <v>0</v>
      </c>
      <c r="AA39" s="37">
        <f>COUNTIFS(VEND[Estado/ Ciudad],'INDICADORES (A)'!Q39,VEND[Mes
Cotizacion],'INDICADORES (A)'!$AA$28)</f>
        <v>0</v>
      </c>
      <c r="AB39" s="37">
        <f>COUNTIFS(VEND[Estado/ Ciudad],'INDICADORES (A)'!Q39,VEND[Mes
Cotizacion],'INDICADORES (A)'!$AB$28)</f>
        <v>0</v>
      </c>
      <c r="AC39" s="37">
        <f>COUNTIFS(VEND[Estado/ Ciudad],'INDICADORES (A)'!Q39,VEND[Mes
Cotizacion],'INDICADORES (A)'!$AC$28)</f>
        <v>0</v>
      </c>
    </row>
    <row r="40" spans="1:29" s="37" customFormat="1" x14ac:dyDescent="0.25">
      <c r="A40" s="210"/>
      <c r="B40" s="173" t="s">
        <v>1505</v>
      </c>
      <c r="C40" s="169">
        <f>SUMIFS(VEND[Monto Cotizado
($/Unid)],VEND[Estado/ Ciudad],'INDICADORES (A)'!B40,VEND[Mes
Cotizacion],'INDICADORES (A)'!$C$28)</f>
        <v>0</v>
      </c>
      <c r="D40" s="169">
        <f>SUMIFS(VEND[Monto Cotizado
($/Unid)],VEND[Estado/ Ciudad],'INDICADORES (A)'!B40,VEND[Mes
Cotizacion],'INDICADORES (A)'!$D$28)</f>
        <v>0</v>
      </c>
      <c r="E40" s="169">
        <f>SUMIFS(VEND[Monto Cotizado
($/Unid)],VEND[Estado/ Ciudad],'INDICADORES (A)'!B40,VEND[Mes
Cotizacion],'INDICADORES (A)'!E$28)</f>
        <v>0</v>
      </c>
      <c r="F40" s="169">
        <f>SUMIFS(VEND[Monto Cotizado
($/Unid)],VEND[Estado/ Ciudad],'INDICADORES (A)'!B40,VEND[Mes
Cotizacion],'INDICADORES (A)'!$F$28)</f>
        <v>0</v>
      </c>
      <c r="G40" s="169">
        <f>SUMIFS(VEND[Monto Cotizado
($/Unid)],VEND[Estado/ Ciudad],'INDICADORES (A)'!B40,VEND[Mes
Cotizacion],'INDICADORES (A)'!$G$28)</f>
        <v>136326.99</v>
      </c>
      <c r="H40" s="169">
        <f>SUMIFS(VEND[Monto Cotizado
($/Unid)],VEND[Estado/ Ciudad],'INDICADORES (A)'!B40,VEND[Mes
Cotizacion],'INDICADORES (A)'!$H$28)</f>
        <v>11462.48</v>
      </c>
      <c r="I40" s="169">
        <f>SUMIFS(VEND[Monto Cotizado
($/Unid)],VEND[Estado/ Ciudad],'INDICADORES (A)'!B40,VEND[Mes
Cotizacion],'INDICADORES (A)'!I39)</f>
        <v>0</v>
      </c>
      <c r="J40" s="169">
        <f>SUMIFS(VEND[Monto Cotizado
($/Unid)],VEND[Estado/ Ciudad],'INDICADORES (A)'!B40,VEND[Mes
Cotizacion],'INDICADORES (A)'!$J$28)</f>
        <v>0</v>
      </c>
      <c r="K40" s="169">
        <f>SUMIFS(VEND[Monto Cotizado
($/Unid)],VEND[Estado/ Ciudad],'INDICADORES (A)'!B40,VEND[Mes
Cotizacion],'INDICADORES (A)'!$K$28)</f>
        <v>0</v>
      </c>
      <c r="L40" s="169">
        <f>SUMIFS(VEND[Monto Cotizado
($/Unid)],VEND[Estado/ Ciudad],'INDICADORES (A)'!B40,VEND[Mes
Cotizacion],'INDICADORES (A)'!$L$28)</f>
        <v>0</v>
      </c>
      <c r="M40" s="169">
        <f>SUMIFS(VEND[Monto Cotizado
($/Unid)],VEND[Estado/ Ciudad],'INDICADORES (A)'!B40,VEND[Mes
Cotizacion],'INDICADORES (A)'!$M$28)</f>
        <v>0</v>
      </c>
      <c r="N40" s="169">
        <f>SUMIFS(VEND[Monto Cotizado
($/Unid)],VEND[Estado/ Ciudad],'INDICADORES (A)'!B40,VEND[Mes
Cotizacion],'INDICADORES (A)'!$N$28)</f>
        <v>0</v>
      </c>
      <c r="Q40" s="37" t="s">
        <v>1505</v>
      </c>
      <c r="R40" s="37">
        <f>COUNTIFS(VEND[Estado/ Ciudad],'INDICADORES (A)'!Q40,VEND[Mes
Cotizacion],'INDICADORES (A)'!$R$28)</f>
        <v>0</v>
      </c>
      <c r="S40" s="37">
        <f>COUNTIFS(VEND[Estado/ Ciudad],'INDICADORES (A)'!Q40,VEND[Mes
Cotizacion],'INDICADORES (A)'!$S$28)</f>
        <v>0</v>
      </c>
      <c r="T40" s="37">
        <f>COUNTIFS(VEND[Estado/ Ciudad],'INDICADORES (A)'!Q40,VEND[Mes
Cotizacion],'INDICADORES (A)'!$T$28)</f>
        <v>0</v>
      </c>
      <c r="U40" s="37">
        <f>COUNTIFS(VEND[Estado/ Ciudad],'INDICADORES (A)'!Q40,VEND[Mes
Cotizacion],'INDICADORES (A)'!$U$28)</f>
        <v>0</v>
      </c>
      <c r="V40" s="37">
        <f>COUNTIFS(VEND[Estado/ Ciudad],'INDICADORES (A)'!Q40,VEND[Mes
Cotizacion],'INDICADORES (A)'!$V$28)</f>
        <v>10</v>
      </c>
      <c r="W40" s="37">
        <f>COUNTIFS(VEND[Estado/ Ciudad],'INDICADORES (A)'!Q40,VEND[Mes
Cotizacion],'INDICADORES (A)'!$W$28)</f>
        <v>4</v>
      </c>
      <c r="X40" s="37">
        <f>COUNTIFS(VEND[Estado/ Ciudad],'INDICADORES (A)'!Q40,VEND[Mes
Cotizacion],'INDICADORES (A)'!$X$28)</f>
        <v>0</v>
      </c>
      <c r="Y40" s="37">
        <f>COUNTIFS(VEND[Estado/ Ciudad],'INDICADORES (A)'!Q40,VEND[Mes
Cotizacion],'INDICADORES (A)'!$Y$28)</f>
        <v>0</v>
      </c>
      <c r="Z40" s="37">
        <f>COUNTIFS(VEND[Estado/ Ciudad],'INDICADORES (A)'!Q40,VEND[Mes
Cotizacion],'INDICADORES (A)'!$Z$28)</f>
        <v>0</v>
      </c>
      <c r="AA40" s="37">
        <f>COUNTIFS(VEND[Estado/ Ciudad],'INDICADORES (A)'!Q40,VEND[Mes
Cotizacion],'INDICADORES (A)'!$AA$28)</f>
        <v>0</v>
      </c>
      <c r="AB40" s="37">
        <f>COUNTIFS(VEND[Estado/ Ciudad],'INDICADORES (A)'!Q40,VEND[Mes
Cotizacion],'INDICADORES (A)'!$AB$28)</f>
        <v>0</v>
      </c>
      <c r="AC40" s="37">
        <f>COUNTIFS(VEND[Estado/ Ciudad],'INDICADORES (A)'!Q40,VEND[Mes
Cotizacion],'INDICADORES (A)'!$AC$28)</f>
        <v>0</v>
      </c>
    </row>
    <row r="41" spans="1:29" s="37" customFormat="1" x14ac:dyDescent="0.25">
      <c r="A41" s="210"/>
      <c r="B41" s="173" t="s">
        <v>1659</v>
      </c>
      <c r="C41" s="169">
        <f>SUMIFS(VEND[Monto Cotizado
($/Unid)],VEND[Estado/ Ciudad],'INDICADORES (A)'!B41,VEND[Mes
Cotizacion],'INDICADORES (A)'!$C$28)</f>
        <v>0</v>
      </c>
      <c r="D41" s="169">
        <f>SUMIFS(VEND[Monto Cotizado
($/Unid)],VEND[Estado/ Ciudad],'INDICADORES (A)'!B41,VEND[Mes
Cotizacion],'INDICADORES (A)'!$D$28)</f>
        <v>0</v>
      </c>
      <c r="E41" s="169">
        <f>SUMIFS(VEND[Monto Cotizado
($/Unid)],VEND[Estado/ Ciudad],'INDICADORES (A)'!B41,VEND[Mes
Cotizacion],'INDICADORES (A)'!E$28)</f>
        <v>0</v>
      </c>
      <c r="F41" s="169">
        <f>SUMIFS(VEND[Monto Cotizado
($/Unid)],VEND[Estado/ Ciudad],'INDICADORES (A)'!B41,VEND[Mes
Cotizacion],'INDICADORES (A)'!$F$28)</f>
        <v>0</v>
      </c>
      <c r="G41" s="169">
        <f>SUMIFS(VEND[Monto Cotizado
($/Unid)],VEND[Estado/ Ciudad],'INDICADORES (A)'!B41,VEND[Mes
Cotizacion],'INDICADORES (A)'!$G$28)</f>
        <v>0</v>
      </c>
      <c r="H41" s="169">
        <f>SUMIFS(VEND[Monto Cotizado
($/Unid)],VEND[Estado/ Ciudad],'INDICADORES (A)'!B41,VEND[Mes
Cotizacion],'INDICADORES (A)'!$H$28)</f>
        <v>0</v>
      </c>
      <c r="I41" s="169">
        <f>SUMIFS(VEND[Monto Cotizado
($/Unid)],VEND[Estado/ Ciudad],'INDICADORES (A)'!B41,VEND[Mes
Cotizacion],'INDICADORES (A)'!I40)</f>
        <v>0</v>
      </c>
      <c r="J41" s="169">
        <f>SUMIFS(VEND[Monto Cotizado
($/Unid)],VEND[Estado/ Ciudad],'INDICADORES (A)'!B41,VEND[Mes
Cotizacion],'INDICADORES (A)'!$J$28)</f>
        <v>0</v>
      </c>
      <c r="K41" s="169">
        <f>SUMIFS(VEND[Monto Cotizado
($/Unid)],VEND[Estado/ Ciudad],'INDICADORES (A)'!B41,VEND[Mes
Cotizacion],'INDICADORES (A)'!$K$28)</f>
        <v>0</v>
      </c>
      <c r="L41" s="169">
        <f>SUMIFS(VEND[Monto Cotizado
($/Unid)],VEND[Estado/ Ciudad],'INDICADORES (A)'!B41,VEND[Mes
Cotizacion],'INDICADORES (A)'!$L$28)</f>
        <v>0</v>
      </c>
      <c r="M41" s="169">
        <f>SUMIFS(VEND[Monto Cotizado
($/Unid)],VEND[Estado/ Ciudad],'INDICADORES (A)'!B41,VEND[Mes
Cotizacion],'INDICADORES (A)'!$M$28)</f>
        <v>0</v>
      </c>
      <c r="N41" s="169">
        <f>SUMIFS(VEND[Monto Cotizado
($/Unid)],VEND[Estado/ Ciudad],'INDICADORES (A)'!B41,VEND[Mes
Cotizacion],'INDICADORES (A)'!$N$28)</f>
        <v>0</v>
      </c>
      <c r="Q41" s="37" t="s">
        <v>1659</v>
      </c>
      <c r="R41" s="37">
        <f>COUNTIFS(VEND[Estado/ Ciudad],'INDICADORES (A)'!Q41,VEND[Mes
Cotizacion],'INDICADORES (A)'!$R$28)</f>
        <v>0</v>
      </c>
      <c r="S41" s="37">
        <f>COUNTIFS(VEND[Estado/ Ciudad],'INDICADORES (A)'!Q41,VEND[Mes
Cotizacion],'INDICADORES (A)'!$S$28)</f>
        <v>0</v>
      </c>
      <c r="T41" s="37">
        <f>COUNTIFS(VEND[Estado/ Ciudad],'INDICADORES (A)'!Q41,VEND[Mes
Cotizacion],'INDICADORES (A)'!$T$28)</f>
        <v>0</v>
      </c>
      <c r="U41" s="37">
        <f>COUNTIFS(VEND[Estado/ Ciudad],'INDICADORES (A)'!Q41,VEND[Mes
Cotizacion],'INDICADORES (A)'!$U$28)</f>
        <v>0</v>
      </c>
      <c r="V41" s="37">
        <f>COUNTIFS(VEND[Estado/ Ciudad],'INDICADORES (A)'!Q41,VEND[Mes
Cotizacion],'INDICADORES (A)'!$V$28)</f>
        <v>0</v>
      </c>
      <c r="W41" s="37">
        <f>COUNTIFS(VEND[Estado/ Ciudad],'INDICADORES (A)'!Q41,VEND[Mes
Cotizacion],'INDICADORES (A)'!$W$28)</f>
        <v>0</v>
      </c>
      <c r="X41" s="37">
        <f>COUNTIFS(VEND[Estado/ Ciudad],'INDICADORES (A)'!Q41,VEND[Mes
Cotizacion],'INDICADORES (A)'!$X$28)</f>
        <v>0</v>
      </c>
      <c r="Y41" s="37">
        <f>COUNTIFS(VEND[Estado/ Ciudad],'INDICADORES (A)'!Q41,VEND[Mes
Cotizacion],'INDICADORES (A)'!$Y$28)</f>
        <v>0</v>
      </c>
      <c r="Z41" s="37">
        <f>COUNTIFS(VEND[Estado/ Ciudad],'INDICADORES (A)'!Q41,VEND[Mes
Cotizacion],'INDICADORES (A)'!$Z$28)</f>
        <v>0</v>
      </c>
      <c r="AA41" s="37">
        <f>COUNTIFS(VEND[Estado/ Ciudad],'INDICADORES (A)'!Q41,VEND[Mes
Cotizacion],'INDICADORES (A)'!$AA$28)</f>
        <v>0</v>
      </c>
      <c r="AB41" s="37">
        <f>COUNTIFS(VEND[Estado/ Ciudad],'INDICADORES (A)'!Q41,VEND[Mes
Cotizacion],'INDICADORES (A)'!$AB$28)</f>
        <v>0</v>
      </c>
      <c r="AC41" s="37">
        <f>COUNTIFS(VEND[Estado/ Ciudad],'INDICADORES (A)'!Q41,VEND[Mes
Cotizacion],'INDICADORES (A)'!$AC$28)</f>
        <v>0</v>
      </c>
    </row>
    <row r="42" spans="1:29" ht="15.75" thickBot="1" x14ac:dyDescent="0.3">
      <c r="B42" s="201" t="s">
        <v>1799</v>
      </c>
      <c r="C42" s="179">
        <f>SUM(C29:C41)</f>
        <v>100331.8</v>
      </c>
      <c r="D42" s="179">
        <f t="shared" ref="D42:N42" si="2">SUM(D29:D41)</f>
        <v>487686.6100000001</v>
      </c>
      <c r="E42" s="179">
        <f t="shared" si="2"/>
        <v>602026.89</v>
      </c>
      <c r="F42" s="179">
        <f t="shared" si="2"/>
        <v>1091218.7210000004</v>
      </c>
      <c r="G42" s="179">
        <f t="shared" si="2"/>
        <v>1222872.7499999998</v>
      </c>
      <c r="H42" s="179">
        <f t="shared" si="2"/>
        <v>973441.32000000007</v>
      </c>
      <c r="I42" s="179">
        <f t="shared" si="2"/>
        <v>0</v>
      </c>
      <c r="J42" s="179">
        <f t="shared" si="2"/>
        <v>0</v>
      </c>
      <c r="K42" s="179">
        <f t="shared" si="2"/>
        <v>0</v>
      </c>
      <c r="L42" s="179">
        <f t="shared" si="2"/>
        <v>0</v>
      </c>
      <c r="M42" s="179">
        <f t="shared" si="2"/>
        <v>0</v>
      </c>
      <c r="N42" s="179">
        <f t="shared" si="2"/>
        <v>0</v>
      </c>
      <c r="Q42" s="201" t="s">
        <v>1799</v>
      </c>
      <c r="R42" s="201">
        <f>SUM(R29:R41)</f>
        <v>12</v>
      </c>
      <c r="S42" s="201">
        <f t="shared" ref="S42:AC42" si="3">SUM(S29:S41)</f>
        <v>41</v>
      </c>
      <c r="T42" s="201">
        <f t="shared" si="3"/>
        <v>128</v>
      </c>
      <c r="U42" s="201">
        <f t="shared" si="3"/>
        <v>162</v>
      </c>
      <c r="V42" s="201">
        <f t="shared" si="3"/>
        <v>219</v>
      </c>
      <c r="W42" s="201">
        <f t="shared" si="3"/>
        <v>168</v>
      </c>
      <c r="X42" s="201">
        <f t="shared" si="3"/>
        <v>0</v>
      </c>
      <c r="Y42" s="201">
        <f t="shared" si="3"/>
        <v>0</v>
      </c>
      <c r="Z42" s="201">
        <f t="shared" si="3"/>
        <v>0</v>
      </c>
      <c r="AA42" s="201">
        <f t="shared" si="3"/>
        <v>0</v>
      </c>
      <c r="AB42" s="201">
        <f t="shared" si="3"/>
        <v>0</v>
      </c>
      <c r="AC42" s="201">
        <f t="shared" si="3"/>
        <v>0</v>
      </c>
    </row>
    <row r="43" spans="1:29" s="105" customFormat="1" x14ac:dyDescent="0.25">
      <c r="A43" s="209"/>
      <c r="B43" s="95"/>
      <c r="C43" s="37"/>
      <c r="D43" s="37"/>
      <c r="E43" s="37"/>
      <c r="F43" s="37"/>
      <c r="G43" s="169"/>
      <c r="H43" s="169"/>
      <c r="I43" s="169"/>
      <c r="J43" s="37"/>
      <c r="K43" s="169"/>
      <c r="L43" s="169"/>
      <c r="M43" s="172"/>
    </row>
    <row r="44" spans="1:29" s="105" customFormat="1" x14ac:dyDescent="0.25">
      <c r="A44" s="209"/>
      <c r="B44" s="95"/>
      <c r="C44" s="37"/>
      <c r="D44" s="37"/>
      <c r="E44" s="37"/>
      <c r="F44" s="37"/>
      <c r="G44" s="169"/>
      <c r="H44" s="169"/>
      <c r="I44" s="169"/>
      <c r="J44" s="37"/>
      <c r="K44" s="169"/>
      <c r="L44" s="169"/>
      <c r="M44" s="172"/>
    </row>
    <row r="45" spans="1:29" s="105" customFormat="1" x14ac:dyDescent="0.25">
      <c r="A45" s="209"/>
      <c r="B45" s="95"/>
      <c r="C45" s="37"/>
      <c r="D45" s="37"/>
      <c r="E45" s="37"/>
      <c r="F45" s="37"/>
      <c r="G45" s="169"/>
      <c r="H45" s="169"/>
      <c r="I45" s="169"/>
      <c r="J45" s="37"/>
      <c r="K45" s="169"/>
      <c r="L45" s="169"/>
      <c r="M45" s="172"/>
    </row>
    <row r="46" spans="1:29" s="105" customFormat="1" x14ac:dyDescent="0.25">
      <c r="A46" s="209"/>
      <c r="B46" s="95"/>
      <c r="C46" s="37"/>
      <c r="D46" s="37"/>
      <c r="E46" s="37"/>
      <c r="F46" s="37"/>
      <c r="G46" s="169"/>
      <c r="H46" s="169"/>
      <c r="I46" s="169"/>
      <c r="J46" s="37"/>
      <c r="K46" s="169"/>
      <c r="L46" s="169"/>
      <c r="M46" s="172"/>
    </row>
    <row r="47" spans="1:29" s="105" customFormat="1" x14ac:dyDescent="0.25">
      <c r="A47" s="209"/>
      <c r="B47" s="95"/>
      <c r="C47" s="37"/>
      <c r="D47" s="37"/>
      <c r="E47" s="37"/>
      <c r="F47" s="37"/>
      <c r="G47" s="169"/>
      <c r="H47" s="169"/>
      <c r="I47" s="169"/>
      <c r="J47" s="37"/>
      <c r="K47" s="169"/>
      <c r="L47" s="169"/>
      <c r="M47" s="172"/>
    </row>
    <row r="48" spans="1:29" s="105" customFormat="1" x14ac:dyDescent="0.25">
      <c r="A48" s="209"/>
      <c r="B48" s="95"/>
      <c r="C48" s="37"/>
      <c r="D48" s="37"/>
      <c r="E48" s="37"/>
      <c r="F48" s="37"/>
      <c r="G48" s="169"/>
      <c r="H48" s="169"/>
      <c r="I48" s="169"/>
      <c r="J48" s="37"/>
      <c r="K48" s="169"/>
      <c r="L48" s="169"/>
      <c r="M48" s="172"/>
    </row>
    <row r="49" spans="1:29" s="105" customFormat="1" x14ac:dyDescent="0.25">
      <c r="A49" s="209"/>
      <c r="B49" s="95"/>
      <c r="C49" s="37"/>
      <c r="D49" s="37"/>
      <c r="E49" s="37"/>
      <c r="F49" s="37"/>
      <c r="G49" s="169"/>
      <c r="H49" s="169"/>
      <c r="I49" s="169"/>
      <c r="J49" s="37"/>
      <c r="K49" s="169"/>
      <c r="L49" s="169"/>
      <c r="M49" s="172"/>
    </row>
    <row r="50" spans="1:29" s="105" customFormat="1" x14ac:dyDescent="0.25">
      <c r="A50" s="209"/>
      <c r="B50" s="95"/>
      <c r="C50" s="37"/>
      <c r="D50" s="37"/>
      <c r="E50" s="37"/>
      <c r="F50" s="37"/>
      <c r="G50" s="169"/>
      <c r="H50" s="169"/>
      <c r="I50" s="169"/>
      <c r="J50" s="37"/>
      <c r="K50" s="169"/>
      <c r="L50" s="169"/>
      <c r="M50" s="172"/>
    </row>
    <row r="51" spans="1:29" ht="15.75" thickBot="1" x14ac:dyDescent="0.3">
      <c r="B51" s="242" t="s">
        <v>1801</v>
      </c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Q51" s="242" t="s">
        <v>1844</v>
      </c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</row>
    <row r="52" spans="1:29" s="103" customFormat="1" ht="15.75" thickBot="1" x14ac:dyDescent="0.3">
      <c r="A52" s="209"/>
      <c r="B52" s="202" t="s">
        <v>1668</v>
      </c>
      <c r="C52" s="203" t="s">
        <v>1643</v>
      </c>
      <c r="D52" s="203" t="s">
        <v>1644</v>
      </c>
      <c r="E52" s="203" t="s">
        <v>1635</v>
      </c>
      <c r="F52" s="203" t="s">
        <v>1642</v>
      </c>
      <c r="G52" s="204" t="s">
        <v>1641</v>
      </c>
      <c r="H52" s="204" t="s">
        <v>1652</v>
      </c>
      <c r="I52" s="204" t="s">
        <v>201</v>
      </c>
      <c r="J52" s="203" t="s">
        <v>1653</v>
      </c>
      <c r="K52" s="204" t="s">
        <v>1654</v>
      </c>
      <c r="L52" s="204" t="s">
        <v>1655</v>
      </c>
      <c r="M52" s="205" t="s">
        <v>1656</v>
      </c>
      <c r="N52" s="202" t="s">
        <v>1657</v>
      </c>
      <c r="O52" s="202" t="s">
        <v>1799</v>
      </c>
      <c r="Q52" s="173" t="s">
        <v>1668</v>
      </c>
      <c r="R52" s="173" t="s">
        <v>1643</v>
      </c>
      <c r="S52" s="173" t="s">
        <v>1644</v>
      </c>
      <c r="T52" s="173" t="s">
        <v>1635</v>
      </c>
      <c r="U52" s="173" t="s">
        <v>1642</v>
      </c>
      <c r="V52" s="173" t="s">
        <v>1641</v>
      </c>
      <c r="W52" s="173" t="s">
        <v>1652</v>
      </c>
      <c r="X52" s="173" t="s">
        <v>201</v>
      </c>
      <c r="Y52" s="173" t="s">
        <v>1653</v>
      </c>
      <c r="Z52" s="173" t="s">
        <v>1654</v>
      </c>
      <c r="AA52" s="173" t="s">
        <v>1655</v>
      </c>
      <c r="AB52" s="173" t="s">
        <v>1656</v>
      </c>
      <c r="AC52" s="173" t="s">
        <v>1657</v>
      </c>
    </row>
    <row r="53" spans="1:29" hidden="1" x14ac:dyDescent="0.25">
      <c r="A53" s="209" t="s">
        <v>50</v>
      </c>
      <c r="B53" s="95" t="s">
        <v>1782</v>
      </c>
      <c r="C53" s="37">
        <f>COUNTIFS(VEND[Cliente / Empresa],'INDICADORES (A)'!B53,VEND[Mes
Cotizacion],'INDICADORES (A)'!$C$52)</f>
        <v>0</v>
      </c>
      <c r="D53" s="37">
        <f>COUNTIFS(VEND[Cliente / Empresa],'INDICADORES (A)'!B53,VEND[Mes
Cotizacion],'INDICADORES (A)'!$D$52)</f>
        <v>0</v>
      </c>
      <c r="E53" s="37">
        <f>COUNTIFS(VEND[Cliente / Empresa],'INDICADORES (A)'!B53,VEND[Mes
Cotizacion],'INDICADORES (A)'!$E$52)</f>
        <v>0</v>
      </c>
      <c r="F53" s="37">
        <f>COUNTIFS(VEND[Cliente / Empresa],'INDICADORES (A)'!B53,VEND[Mes
Cotizacion],'INDICADORES (A)'!$F$52)</f>
        <v>0</v>
      </c>
      <c r="G53" s="37">
        <f>COUNTIFS(VEND[Cliente / Empresa],'INDICADORES (A)'!B53,VEND[Mes
Cotizacion],'INDICADORES (A)'!$G$52)</f>
        <v>2</v>
      </c>
      <c r="H53" s="37">
        <f>COUNTIFS(VEND[Cliente / Empresa],'INDICADORES (A)'!B53,VEND[Mes
Cotizacion],'INDICADORES (A)'!$H$52)</f>
        <v>0</v>
      </c>
      <c r="I53" s="37">
        <f>COUNTIFS(VEND[Cliente / Empresa],'INDICADORES (A)'!B53,VEND[Mes
Cotizacion],'INDICADORES (A)'!$I$52)</f>
        <v>0</v>
      </c>
      <c r="J53" s="37">
        <f>COUNTIFS(VEND[Cliente / Empresa],'INDICADORES (A)'!B53,VEND[Mes
Cotizacion],'INDICADORES (A)'!$J$52)</f>
        <v>0</v>
      </c>
      <c r="K53" s="37">
        <f>COUNTIFS(VEND[Cliente / Empresa],'INDICADORES (A)'!B53,VEND[Mes
Cotizacion],'INDICADORES (A)'!$K$52)</f>
        <v>0</v>
      </c>
      <c r="L53" s="37">
        <f>COUNTIFS(VEND[Cliente / Empresa],'INDICADORES (A)'!B53,VEND[Mes
Cotizacion],'INDICADORES (A)'!$L$52)</f>
        <v>0</v>
      </c>
      <c r="M53" s="37">
        <f>COUNTIFS(VEND[Cliente / Empresa],'INDICADORES (A)'!B53,VEND[Mes
Cotizacion],'INDICADORES (A)'!$M$52)</f>
        <v>0</v>
      </c>
      <c r="N53" s="110">
        <f>COUNTIFS(VEND[Cliente / Empresa],'INDICADORES (A)'!B53,VEND[Mes
Cotizacion],'INDICADORES (A)'!$N$52)</f>
        <v>0</v>
      </c>
      <c r="O53" s="103">
        <f>SUM(C53:N53)</f>
        <v>2</v>
      </c>
      <c r="Q53" s="173" t="s">
        <v>1409</v>
      </c>
      <c r="R53" s="169">
        <f>SUMIFS(VEND[Monto Cotizado
($/Unid)],VEND[Estado/ Ciudad],'INDICADORES (A)'!Q53,VEND[Mes
Cotizacion],'INDICADORES (A)'!$C$28)</f>
        <v>100331.8</v>
      </c>
      <c r="S53" s="169">
        <f>SUMIFS(VEND[Monto Cotizado
($/Unid)],VEND[Estado/ Ciudad],'INDICADORES (A)'!Q53,VEND[Mes
Cotizacion],'INDICADORES (A)'!$D$28)</f>
        <v>168312.54</v>
      </c>
      <c r="T53" s="169">
        <f>SUMIFS(VEND[Monto Cotizado
($/Unid)],VEND[Estado/ Ciudad],'INDICADORES (A)'!Q53,VEND[Mes
Cotizacion],'INDICADORES (A)'!T$28)</f>
        <v>343278.15</v>
      </c>
      <c r="U53" s="169">
        <f>SUMIFS(VEND[Monto Cotizado
($/Unid)],VEND[Estado/ Ciudad],'INDICADORES (A)'!Q53,VEND[Mes
Cotizacion],'INDICADORES (A)'!$F$28)</f>
        <v>189791.98000000004</v>
      </c>
      <c r="V53" s="169">
        <f>SUMIFS(VEND[Monto Cotizado
($/Unid)],VEND[Estado/ Ciudad],'INDICADORES (A)'!Q53,VEND[Mes
Cotizacion],'INDICADORES (A)'!$G$28)</f>
        <v>302421.83999999985</v>
      </c>
      <c r="W53" s="169">
        <f>SUMIFS(VEND[Monto Cotizado
($/Unid)],VEND[Estado/ Ciudad],'INDICADORES (A)'!Q53,VEND[Mes
Cotizacion],'INDICADORES (A)'!$H$28)</f>
        <v>213496.69000000003</v>
      </c>
      <c r="X53" s="169">
        <f>SUMIFS(VEND[Monto Cotizado
($/Unid)],VEND[Estado/ Ciudad],'INDICADORES (A)'!Q53,VEND[Mes
Cotizacion],'INDICADORES (A)'!X52)</f>
        <v>0</v>
      </c>
      <c r="Y53" s="169">
        <f>SUMIFS(VEND[Monto Cotizado
($/Unid)],VEND[Estado/ Ciudad],'INDICADORES (A)'!Q53,VEND[Mes
Cotizacion],'INDICADORES (A)'!$J$28)</f>
        <v>0</v>
      </c>
      <c r="Z53" s="169">
        <f>SUMIFS(VEND[Monto Cotizado
($/Unid)],VEND[Estado/ Ciudad],'INDICADORES (A)'!Q53,VEND[Mes
Cotizacion],'INDICADORES (A)'!$K$28)</f>
        <v>0</v>
      </c>
      <c r="AA53" s="169">
        <f>SUMIFS(VEND[Monto Cotizado
($/Unid)],VEND[Estado/ Ciudad],'INDICADORES (A)'!Q53,VEND[Mes
Cotizacion],'INDICADORES (A)'!$L$28)</f>
        <v>0</v>
      </c>
      <c r="AB53" s="169">
        <f>SUMIFS(VEND[Monto Cotizado
($/Unid)],VEND[Estado/ Ciudad],'INDICADORES (A)'!Q53,VEND[Mes
Cotizacion],'INDICADORES (A)'!$M$28)</f>
        <v>0</v>
      </c>
      <c r="AC53" s="169">
        <f>SUMIFS(VEND[Monto Cotizado
($/Unid)],VEND[Estado/ Ciudad],'INDICADORES (A)'!Q53,VEND[Mes
Cotizacion],'INDICADORES (A)'!$N$28)</f>
        <v>0</v>
      </c>
    </row>
    <row r="54" spans="1:29" hidden="1" x14ac:dyDescent="0.25">
      <c r="A54" s="209" t="s">
        <v>50</v>
      </c>
      <c r="B54" s="95" t="s">
        <v>125</v>
      </c>
      <c r="C54" s="37">
        <f>COUNTIFS(VEND[Cliente / Empresa],'INDICADORES (A)'!B54,VEND[Mes
Cotizacion],'INDICADORES (A)'!$C$52)</f>
        <v>0</v>
      </c>
      <c r="D54" s="37">
        <f>COUNTIFS(VEND[Cliente / Empresa],'INDICADORES (A)'!B54,VEND[Mes
Cotizacion],'INDICADORES (A)'!$D$52)</f>
        <v>0</v>
      </c>
      <c r="E54" s="37">
        <f>COUNTIFS(VEND[Cliente / Empresa],'INDICADORES (A)'!B54,VEND[Mes
Cotizacion],'INDICADORES (A)'!$E$52)</f>
        <v>3</v>
      </c>
      <c r="F54" s="37">
        <f>COUNTIFS(VEND[Cliente / Empresa],'INDICADORES (A)'!B54,VEND[Mes
Cotizacion],'INDICADORES (A)'!$F$52)</f>
        <v>4</v>
      </c>
      <c r="G54" s="37">
        <f>COUNTIFS(VEND[Cliente / Empresa],'INDICADORES (A)'!B54,VEND[Mes
Cotizacion],'INDICADORES (A)'!$G$52)</f>
        <v>2</v>
      </c>
      <c r="H54" s="37">
        <f>COUNTIFS(VEND[Cliente / Empresa],'INDICADORES (A)'!B54,VEND[Mes
Cotizacion],'INDICADORES (A)'!$H$52)</f>
        <v>1</v>
      </c>
      <c r="I54" s="37">
        <f>COUNTIFS(VEND[Cliente / Empresa],'INDICADORES (A)'!B54,VEND[Mes
Cotizacion],'INDICADORES (A)'!$I$52)</f>
        <v>0</v>
      </c>
      <c r="J54" s="37">
        <f>COUNTIFS(VEND[Cliente / Empresa],'INDICADORES (A)'!B54,VEND[Mes
Cotizacion],'INDICADORES (A)'!$J$52)</f>
        <v>0</v>
      </c>
      <c r="K54" s="37">
        <f>COUNTIFS(VEND[Cliente / Empresa],'INDICADORES (A)'!B54,VEND[Mes
Cotizacion],'INDICADORES (A)'!$K$52)</f>
        <v>0</v>
      </c>
      <c r="L54" s="37">
        <f>COUNTIFS(VEND[Cliente / Empresa],'INDICADORES (A)'!B54,VEND[Mes
Cotizacion],'INDICADORES (A)'!$L$52)</f>
        <v>0</v>
      </c>
      <c r="M54" s="37">
        <f>COUNTIFS(VEND[Cliente / Empresa],'INDICADORES (A)'!B54,VEND[Mes
Cotizacion],'INDICADORES (A)'!$M$52)</f>
        <v>0</v>
      </c>
      <c r="N54" s="110">
        <f>COUNTIFS(VEND[Cliente / Empresa],'INDICADORES (A)'!B54,VEND[Mes
Cotizacion],'INDICADORES (A)'!$N$52)</f>
        <v>0</v>
      </c>
      <c r="O54" s="103">
        <f t="shared" ref="O54:O118" si="4">SUM(C54:N54)</f>
        <v>10</v>
      </c>
      <c r="Q54" s="173" t="s">
        <v>1401</v>
      </c>
      <c r="R54" s="169">
        <f>SUMIFS(VEND[Monto Cotizado
($/Unid)],VEND[Estado/ Ciudad],'INDICADORES (A)'!Q54,VEND[Mes
Cotizacion],'INDICADORES (A)'!$C$28)</f>
        <v>0</v>
      </c>
      <c r="S54" s="169">
        <f>SUMIFS(VEND[Monto Cotizado
($/Unid)],VEND[Estado/ Ciudad],'INDICADORES (A)'!Q54,VEND[Mes
Cotizacion],'INDICADORES (A)'!$D$28)</f>
        <v>255302.90000000002</v>
      </c>
      <c r="T54" s="169">
        <f>SUMIFS(VEND[Monto Cotizado
($/Unid)],VEND[Estado/ Ciudad],'INDICADORES (A)'!Q54,VEND[Mes
Cotizacion],'INDICADORES (A)'!T$28)</f>
        <v>150502</v>
      </c>
      <c r="U54" s="169">
        <f>SUMIFS(VEND[Monto Cotizado
($/Unid)],VEND[Estado/ Ciudad],'INDICADORES (A)'!Q54,VEND[Mes
Cotizacion],'INDICADORES (A)'!$F$28)</f>
        <v>126683.091</v>
      </c>
      <c r="V54" s="169">
        <f>SUMIFS(VEND[Monto Cotizado
($/Unid)],VEND[Estado/ Ciudad],'INDICADORES (A)'!Q54,VEND[Mes
Cotizacion],'INDICADORES (A)'!$G$28)</f>
        <v>248064.69999999995</v>
      </c>
      <c r="W54" s="169">
        <f>SUMIFS(VEND[Monto Cotizado
($/Unid)],VEND[Estado/ Ciudad],'INDICADORES (A)'!Q54,VEND[Mes
Cotizacion],'INDICADORES (A)'!$H$28)</f>
        <v>244821.89</v>
      </c>
      <c r="X54" s="169">
        <f>SUMIFS(VEND[Monto Cotizado
($/Unid)],VEND[Estado/ Ciudad],'INDICADORES (A)'!Q54,VEND[Mes
Cotizacion],'INDICADORES (A)'!X53)</f>
        <v>0</v>
      </c>
      <c r="Y54" s="169">
        <f>SUMIFS(VEND[Monto Cotizado
($/Unid)],VEND[Estado/ Ciudad],'INDICADORES (A)'!Q54,VEND[Mes
Cotizacion],'INDICADORES (A)'!$J$28)</f>
        <v>0</v>
      </c>
      <c r="Z54" s="169">
        <f>SUMIFS(VEND[Monto Cotizado
($/Unid)],VEND[Estado/ Ciudad],'INDICADORES (A)'!Q54,VEND[Mes
Cotizacion],'INDICADORES (A)'!$K$28)</f>
        <v>0</v>
      </c>
      <c r="AA54" s="169">
        <f>SUMIFS(VEND[Monto Cotizado
($/Unid)],VEND[Estado/ Ciudad],'INDICADORES (A)'!Q54,VEND[Mes
Cotizacion],'INDICADORES (A)'!$L$28)</f>
        <v>0</v>
      </c>
      <c r="AB54" s="169">
        <f>SUMIFS(VEND[Monto Cotizado
($/Unid)],VEND[Estado/ Ciudad],'INDICADORES (A)'!Q54,VEND[Mes
Cotizacion],'INDICADORES (A)'!$M$28)</f>
        <v>0</v>
      </c>
      <c r="AC54" s="169">
        <f>SUMIFS(VEND[Monto Cotizado
($/Unid)],VEND[Estado/ Ciudad],'INDICADORES (A)'!Q54,VEND[Mes
Cotizacion],'INDICADORES (A)'!$N$28)</f>
        <v>0</v>
      </c>
    </row>
    <row r="55" spans="1:29" hidden="1" x14ac:dyDescent="0.25">
      <c r="B55" s="95" t="s">
        <v>1114</v>
      </c>
      <c r="C55" s="37">
        <f>COUNTIFS(VEND[Cliente / Empresa],'INDICADORES (A)'!B55,VEND[Mes
Cotizacion],'INDICADORES (A)'!$C$52)</f>
        <v>0</v>
      </c>
      <c r="D55" s="37">
        <f>COUNTIFS(VEND[Cliente / Empresa],'INDICADORES (A)'!B55,VEND[Mes
Cotizacion],'INDICADORES (A)'!$D$52)</f>
        <v>1</v>
      </c>
      <c r="E55" s="37">
        <f>COUNTIFS(VEND[Cliente / Empresa],'INDICADORES (A)'!B55,VEND[Mes
Cotizacion],'INDICADORES (A)'!$E$52)</f>
        <v>0</v>
      </c>
      <c r="F55" s="37">
        <f>COUNTIFS(VEND[Cliente / Empresa],'INDICADORES (A)'!B55,VEND[Mes
Cotizacion],'INDICADORES (A)'!$F$52)</f>
        <v>0</v>
      </c>
      <c r="G55" s="37">
        <f>COUNTIFS(VEND[Cliente / Empresa],'INDICADORES (A)'!B55,VEND[Mes
Cotizacion],'INDICADORES (A)'!$G$52)</f>
        <v>0</v>
      </c>
      <c r="H55" s="37">
        <f>COUNTIFS(VEND[Cliente / Empresa],'INDICADORES (A)'!B55,VEND[Mes
Cotizacion],'INDICADORES (A)'!$H$52)</f>
        <v>0</v>
      </c>
      <c r="I55" s="37">
        <f>COUNTIFS(VEND[Cliente / Empresa],'INDICADORES (A)'!B55,VEND[Mes
Cotizacion],'INDICADORES (A)'!$I$52)</f>
        <v>0</v>
      </c>
      <c r="J55" s="37">
        <f>COUNTIFS(VEND[Cliente / Empresa],'INDICADORES (A)'!B55,VEND[Mes
Cotizacion],'INDICADORES (A)'!$J$52)</f>
        <v>0</v>
      </c>
      <c r="K55" s="37">
        <f>COUNTIFS(VEND[Cliente / Empresa],'INDICADORES (A)'!B55,VEND[Mes
Cotizacion],'INDICADORES (A)'!$K$52)</f>
        <v>0</v>
      </c>
      <c r="L55" s="37">
        <f>COUNTIFS(VEND[Cliente / Empresa],'INDICADORES (A)'!B55,VEND[Mes
Cotizacion],'INDICADORES (A)'!$L$52)</f>
        <v>0</v>
      </c>
      <c r="M55" s="37">
        <f>COUNTIFS(VEND[Cliente / Empresa],'INDICADORES (A)'!B55,VEND[Mes
Cotizacion],'INDICADORES (A)'!$M$52)</f>
        <v>0</v>
      </c>
      <c r="N55" s="110">
        <f>COUNTIFS(VEND[Cliente / Empresa],'INDICADORES (A)'!B55,VEND[Mes
Cotizacion],'INDICADORES (A)'!$N$52)</f>
        <v>0</v>
      </c>
      <c r="O55" s="103">
        <f t="shared" si="4"/>
        <v>1</v>
      </c>
      <c r="Q55" s="173" t="s">
        <v>1402</v>
      </c>
      <c r="R55" s="169">
        <f>SUMIFS(VEND[Monto Cotizado
($/Unid)],VEND[Estado/ Ciudad],'INDICADORES (A)'!Q55,VEND[Mes
Cotizacion],'INDICADORES (A)'!$C$28)</f>
        <v>0</v>
      </c>
      <c r="S55" s="169">
        <f>SUMIFS(VEND[Monto Cotizado
($/Unid)],VEND[Estado/ Ciudad],'INDICADORES (A)'!Q55,VEND[Mes
Cotizacion],'INDICADORES (A)'!$D$28)</f>
        <v>11093.259999999998</v>
      </c>
      <c r="T55" s="169">
        <f>SUMIFS(VEND[Monto Cotizado
($/Unid)],VEND[Estado/ Ciudad],'INDICADORES (A)'!Q55,VEND[Mes
Cotizacion],'INDICADORES (A)'!T$28)</f>
        <v>71799.659999999989</v>
      </c>
      <c r="U55" s="169">
        <f>SUMIFS(VEND[Monto Cotizado
($/Unid)],VEND[Estado/ Ciudad],'INDICADORES (A)'!Q55,VEND[Mes
Cotizacion],'INDICADORES (A)'!$F$28)</f>
        <v>680489.04</v>
      </c>
      <c r="V55" s="169">
        <f>SUMIFS(VEND[Monto Cotizado
($/Unid)],VEND[Estado/ Ciudad],'INDICADORES (A)'!Q55,VEND[Mes
Cotizacion],'INDICADORES (A)'!$G$28)</f>
        <v>445751.67</v>
      </c>
      <c r="W55" s="169">
        <f>SUMIFS(VEND[Monto Cotizado
($/Unid)],VEND[Estado/ Ciudad],'INDICADORES (A)'!Q55,VEND[Mes
Cotizacion],'INDICADORES (A)'!$H$28)</f>
        <v>288366.44</v>
      </c>
      <c r="X55" s="169">
        <f>SUMIFS(VEND[Monto Cotizado
($/Unid)],VEND[Estado/ Ciudad],'INDICADORES (A)'!Q55,VEND[Mes
Cotizacion],'INDICADORES (A)'!X54)</f>
        <v>0</v>
      </c>
      <c r="Y55" s="169">
        <f>SUMIFS(VEND[Monto Cotizado
($/Unid)],VEND[Estado/ Ciudad],'INDICADORES (A)'!Q55,VEND[Mes
Cotizacion],'INDICADORES (A)'!$J$28)</f>
        <v>0</v>
      </c>
      <c r="Z55" s="169">
        <f>SUMIFS(VEND[Monto Cotizado
($/Unid)],VEND[Estado/ Ciudad],'INDICADORES (A)'!Q55,VEND[Mes
Cotizacion],'INDICADORES (A)'!$K$28)</f>
        <v>0</v>
      </c>
      <c r="AA55" s="169">
        <f>SUMIFS(VEND[Monto Cotizado
($/Unid)],VEND[Estado/ Ciudad],'INDICADORES (A)'!Q55,VEND[Mes
Cotizacion],'INDICADORES (A)'!$L$28)</f>
        <v>0</v>
      </c>
      <c r="AB55" s="169">
        <f>SUMIFS(VEND[Monto Cotizado
($/Unid)],VEND[Estado/ Ciudad],'INDICADORES (A)'!Q55,VEND[Mes
Cotizacion],'INDICADORES (A)'!$M$28)</f>
        <v>0</v>
      </c>
      <c r="AC55" s="169">
        <f>SUMIFS(VEND[Monto Cotizado
($/Unid)],VEND[Estado/ Ciudad],'INDICADORES (A)'!Q55,VEND[Mes
Cotizacion],'INDICADORES (A)'!$N$28)</f>
        <v>0</v>
      </c>
    </row>
    <row r="56" spans="1:29" hidden="1" x14ac:dyDescent="0.25">
      <c r="A56" s="209" t="s">
        <v>155</v>
      </c>
      <c r="B56" s="95" t="s">
        <v>144</v>
      </c>
      <c r="C56" s="37">
        <f>COUNTIFS(VEND[Cliente / Empresa],'INDICADORES (A)'!B56,VEND[Mes
Cotizacion],'INDICADORES (A)'!$C$52)</f>
        <v>0</v>
      </c>
      <c r="D56" s="37">
        <f>COUNTIFS(VEND[Cliente / Empresa],'INDICADORES (A)'!B56,VEND[Mes
Cotizacion],'INDICADORES (A)'!$D$52)</f>
        <v>0</v>
      </c>
      <c r="E56" s="37">
        <f>COUNTIFS(VEND[Cliente / Empresa],'INDICADORES (A)'!B56,VEND[Mes
Cotizacion],'INDICADORES (A)'!$E$52)</f>
        <v>0</v>
      </c>
      <c r="F56" s="37">
        <f>COUNTIFS(VEND[Cliente / Empresa],'INDICADORES (A)'!B56,VEND[Mes
Cotizacion],'INDICADORES (A)'!$F$52)</f>
        <v>1</v>
      </c>
      <c r="G56" s="37">
        <f>COUNTIFS(VEND[Cliente / Empresa],'INDICADORES (A)'!B56,VEND[Mes
Cotizacion],'INDICADORES (A)'!$G$52)</f>
        <v>1</v>
      </c>
      <c r="H56" s="37">
        <f>COUNTIFS(VEND[Cliente / Empresa],'INDICADORES (A)'!B56,VEND[Mes
Cotizacion],'INDICADORES (A)'!$H$52)</f>
        <v>0</v>
      </c>
      <c r="I56" s="37">
        <f>COUNTIFS(VEND[Cliente / Empresa],'INDICADORES (A)'!B56,VEND[Mes
Cotizacion],'INDICADORES (A)'!$I$52)</f>
        <v>0</v>
      </c>
      <c r="J56" s="37">
        <f>COUNTIFS(VEND[Cliente / Empresa],'INDICADORES (A)'!B56,VEND[Mes
Cotizacion],'INDICADORES (A)'!$J$52)</f>
        <v>0</v>
      </c>
      <c r="K56" s="37">
        <f>COUNTIFS(VEND[Cliente / Empresa],'INDICADORES (A)'!B56,VEND[Mes
Cotizacion],'INDICADORES (A)'!$K$52)</f>
        <v>0</v>
      </c>
      <c r="L56" s="37">
        <f>COUNTIFS(VEND[Cliente / Empresa],'INDICADORES (A)'!B56,VEND[Mes
Cotizacion],'INDICADORES (A)'!$L$52)</f>
        <v>0</v>
      </c>
      <c r="M56" s="37">
        <f>COUNTIFS(VEND[Cliente / Empresa],'INDICADORES (A)'!B56,VEND[Mes
Cotizacion],'INDICADORES (A)'!$M$52)</f>
        <v>0</v>
      </c>
      <c r="N56" s="110">
        <f>COUNTIFS(VEND[Cliente / Empresa],'INDICADORES (A)'!B56,VEND[Mes
Cotizacion],'INDICADORES (A)'!$N$52)</f>
        <v>0</v>
      </c>
      <c r="O56" s="103">
        <f t="shared" si="4"/>
        <v>2</v>
      </c>
      <c r="Q56" s="173" t="s">
        <v>1405</v>
      </c>
      <c r="R56" s="169">
        <f>SUMIFS(VEND[Monto Cotizado
($/Unid)],VEND[Estado/ Ciudad],'INDICADORES (A)'!Q56,VEND[Mes
Cotizacion],'INDICADORES (A)'!$C$28)</f>
        <v>0</v>
      </c>
      <c r="S56" s="169">
        <f>SUMIFS(VEND[Monto Cotizado
($/Unid)],VEND[Estado/ Ciudad],'INDICADORES (A)'!Q56,VEND[Mes
Cotizacion],'INDICADORES (A)'!$D$28)</f>
        <v>46493.270000000004</v>
      </c>
      <c r="T56" s="169">
        <f>SUMIFS(VEND[Monto Cotizado
($/Unid)],VEND[Estado/ Ciudad],'INDICADORES (A)'!Q56,VEND[Mes
Cotizacion],'INDICADORES (A)'!T$28)</f>
        <v>3150</v>
      </c>
      <c r="U56" s="169">
        <f>SUMIFS(VEND[Monto Cotizado
($/Unid)],VEND[Estado/ Ciudad],'INDICADORES (A)'!Q56,VEND[Mes
Cotizacion],'INDICADORES (A)'!$F$28)</f>
        <v>66989.83</v>
      </c>
      <c r="V56" s="169">
        <f>SUMIFS(VEND[Monto Cotizado
($/Unid)],VEND[Estado/ Ciudad],'INDICADORES (A)'!Q56,VEND[Mes
Cotizacion],'INDICADORES (A)'!$G$28)</f>
        <v>1808.26</v>
      </c>
      <c r="W56" s="169">
        <f>SUMIFS(VEND[Monto Cotizado
($/Unid)],VEND[Estado/ Ciudad],'INDICADORES (A)'!Q56,VEND[Mes
Cotizacion],'INDICADORES (A)'!$H$28)</f>
        <v>8235.49</v>
      </c>
      <c r="X56" s="169">
        <f>SUMIFS(VEND[Monto Cotizado
($/Unid)],VEND[Estado/ Ciudad],'INDICADORES (A)'!Q56,VEND[Mes
Cotizacion],'INDICADORES (A)'!X55)</f>
        <v>0</v>
      </c>
      <c r="Y56" s="169">
        <f>SUMIFS(VEND[Monto Cotizado
($/Unid)],VEND[Estado/ Ciudad],'INDICADORES (A)'!Q56,VEND[Mes
Cotizacion],'INDICADORES (A)'!$J$28)</f>
        <v>0</v>
      </c>
      <c r="Z56" s="169">
        <f>SUMIFS(VEND[Monto Cotizado
($/Unid)],VEND[Estado/ Ciudad],'INDICADORES (A)'!Q56,VEND[Mes
Cotizacion],'INDICADORES (A)'!$K$28)</f>
        <v>0</v>
      </c>
      <c r="AA56" s="169">
        <f>SUMIFS(VEND[Monto Cotizado
($/Unid)],VEND[Estado/ Ciudad],'INDICADORES (A)'!Q56,VEND[Mes
Cotizacion],'INDICADORES (A)'!$L$28)</f>
        <v>0</v>
      </c>
      <c r="AB56" s="169">
        <f>SUMIFS(VEND[Monto Cotizado
($/Unid)],VEND[Estado/ Ciudad],'INDICADORES (A)'!Q56,VEND[Mes
Cotizacion],'INDICADORES (A)'!$M$28)</f>
        <v>0</v>
      </c>
      <c r="AC56" s="169">
        <f>SUMIFS(VEND[Monto Cotizado
($/Unid)],VEND[Estado/ Ciudad],'INDICADORES (A)'!Q56,VEND[Mes
Cotizacion],'INDICADORES (A)'!$N$28)</f>
        <v>0</v>
      </c>
    </row>
    <row r="57" spans="1:29" hidden="1" x14ac:dyDescent="0.25">
      <c r="A57" s="209" t="s">
        <v>50</v>
      </c>
      <c r="B57" s="95" t="s">
        <v>118</v>
      </c>
      <c r="C57" s="37">
        <f>COUNTIFS(VEND[Cliente / Empresa],'INDICADORES (A)'!B57,VEND[Mes
Cotizacion],'INDICADORES (A)'!$C$52)</f>
        <v>0</v>
      </c>
      <c r="D57" s="37">
        <f>COUNTIFS(VEND[Cliente / Empresa],'INDICADORES (A)'!B57,VEND[Mes
Cotizacion],'INDICADORES (A)'!$D$52)</f>
        <v>0</v>
      </c>
      <c r="E57" s="37">
        <f>COUNTIFS(VEND[Cliente / Empresa],'INDICADORES (A)'!B57,VEND[Mes
Cotizacion],'INDICADORES (A)'!$E$52)</f>
        <v>0</v>
      </c>
      <c r="F57" s="37">
        <f>COUNTIFS(VEND[Cliente / Empresa],'INDICADORES (A)'!B57,VEND[Mes
Cotizacion],'INDICADORES (A)'!$F$52)</f>
        <v>2</v>
      </c>
      <c r="G57" s="37">
        <f>COUNTIFS(VEND[Cliente / Empresa],'INDICADORES (A)'!B57,VEND[Mes
Cotizacion],'INDICADORES (A)'!$G$52)</f>
        <v>0</v>
      </c>
      <c r="H57" s="37">
        <f>COUNTIFS(VEND[Cliente / Empresa],'INDICADORES (A)'!B57,VEND[Mes
Cotizacion],'INDICADORES (A)'!$H$52)</f>
        <v>0</v>
      </c>
      <c r="I57" s="37">
        <f>COUNTIFS(VEND[Cliente / Empresa],'INDICADORES (A)'!B57,VEND[Mes
Cotizacion],'INDICADORES (A)'!$I$52)</f>
        <v>0</v>
      </c>
      <c r="J57" s="37">
        <f>COUNTIFS(VEND[Cliente / Empresa],'INDICADORES (A)'!B57,VEND[Mes
Cotizacion],'INDICADORES (A)'!$J$52)</f>
        <v>0</v>
      </c>
      <c r="K57" s="37">
        <f>COUNTIFS(VEND[Cliente / Empresa],'INDICADORES (A)'!B57,VEND[Mes
Cotizacion],'INDICADORES (A)'!$K$52)</f>
        <v>0</v>
      </c>
      <c r="L57" s="37">
        <f>COUNTIFS(VEND[Cliente / Empresa],'INDICADORES (A)'!B57,VEND[Mes
Cotizacion],'INDICADORES (A)'!$L$52)</f>
        <v>0</v>
      </c>
      <c r="M57" s="37">
        <f>COUNTIFS(VEND[Cliente / Empresa],'INDICADORES (A)'!B57,VEND[Mes
Cotizacion],'INDICADORES (A)'!$M$52)</f>
        <v>0</v>
      </c>
      <c r="N57" s="110">
        <f>COUNTIFS(VEND[Cliente / Empresa],'INDICADORES (A)'!B57,VEND[Mes
Cotizacion],'INDICADORES (A)'!$N$52)</f>
        <v>0</v>
      </c>
      <c r="O57" s="103">
        <f t="shared" si="4"/>
        <v>2</v>
      </c>
      <c r="Q57" s="173" t="s">
        <v>1407</v>
      </c>
      <c r="R57" s="169">
        <f>SUMIFS(VEND[Monto Cotizado
($/Unid)],VEND[Estado/ Ciudad],'INDICADORES (A)'!Q57,VEND[Mes
Cotizacion],'INDICADORES (A)'!$C$28)</f>
        <v>0</v>
      </c>
      <c r="S57" s="169">
        <f>SUMIFS(VEND[Monto Cotizado
($/Unid)],VEND[Estado/ Ciudad],'INDICADORES (A)'!Q57,VEND[Mes
Cotizacion],'INDICADORES (A)'!$D$28)</f>
        <v>0</v>
      </c>
      <c r="T57" s="169">
        <f>SUMIFS(VEND[Monto Cotizado
($/Unid)],VEND[Estado/ Ciudad],'INDICADORES (A)'!Q57,VEND[Mes
Cotizacion],'INDICADORES (A)'!T$28)</f>
        <v>13308.34</v>
      </c>
      <c r="U57" s="169">
        <f>SUMIFS(VEND[Monto Cotizado
($/Unid)],VEND[Estado/ Ciudad],'INDICADORES (A)'!Q57,VEND[Mes
Cotizacion],'INDICADORES (A)'!$F$28)</f>
        <v>827.62</v>
      </c>
      <c r="V57" s="169">
        <f>SUMIFS(VEND[Monto Cotizado
($/Unid)],VEND[Estado/ Ciudad],'INDICADORES (A)'!Q57,VEND[Mes
Cotizacion],'INDICADORES (A)'!$G$28)</f>
        <v>26360.86</v>
      </c>
      <c r="W57" s="169">
        <f>SUMIFS(VEND[Monto Cotizado
($/Unid)],VEND[Estado/ Ciudad],'INDICADORES (A)'!Q57,VEND[Mes
Cotizacion],'INDICADORES (A)'!$H$28)</f>
        <v>20778.650000000001</v>
      </c>
      <c r="X57" s="169">
        <f>SUMIFS(VEND[Monto Cotizado
($/Unid)],VEND[Estado/ Ciudad],'INDICADORES (A)'!Q57,VEND[Mes
Cotizacion],'INDICADORES (A)'!X56)</f>
        <v>0</v>
      </c>
      <c r="Y57" s="169">
        <f>SUMIFS(VEND[Monto Cotizado
($/Unid)],VEND[Estado/ Ciudad],'INDICADORES (A)'!Q57,VEND[Mes
Cotizacion],'INDICADORES (A)'!$J$28)</f>
        <v>0</v>
      </c>
      <c r="Z57" s="169">
        <f>SUMIFS(VEND[Monto Cotizado
($/Unid)],VEND[Estado/ Ciudad],'INDICADORES (A)'!Q57,VEND[Mes
Cotizacion],'INDICADORES (A)'!$K$28)</f>
        <v>0</v>
      </c>
      <c r="AA57" s="169">
        <f>SUMIFS(VEND[Monto Cotizado
($/Unid)],VEND[Estado/ Ciudad],'INDICADORES (A)'!Q57,VEND[Mes
Cotizacion],'INDICADORES (A)'!$L$28)</f>
        <v>0</v>
      </c>
      <c r="AB57" s="169">
        <f>SUMIFS(VEND[Monto Cotizado
($/Unid)],VEND[Estado/ Ciudad],'INDICADORES (A)'!Q57,VEND[Mes
Cotizacion],'INDICADORES (A)'!$M$28)</f>
        <v>0</v>
      </c>
      <c r="AC57" s="169">
        <f>SUMIFS(VEND[Monto Cotizado
($/Unid)],VEND[Estado/ Ciudad],'INDICADORES (A)'!Q57,VEND[Mes
Cotizacion],'INDICADORES (A)'!$N$28)</f>
        <v>0</v>
      </c>
    </row>
    <row r="58" spans="1:29" hidden="1" x14ac:dyDescent="0.25">
      <c r="A58" s="209" t="s">
        <v>68</v>
      </c>
      <c r="B58" s="95" t="s">
        <v>65</v>
      </c>
      <c r="C58" s="37">
        <f>COUNTIFS(VEND[Cliente / Empresa],'INDICADORES (A)'!B58,VEND[Mes
Cotizacion],'INDICADORES (A)'!$C$52)</f>
        <v>0</v>
      </c>
      <c r="D58" s="37">
        <f>COUNTIFS(VEND[Cliente / Empresa],'INDICADORES (A)'!B58,VEND[Mes
Cotizacion],'INDICADORES (A)'!$D$52)</f>
        <v>0</v>
      </c>
      <c r="E58" s="37">
        <f>COUNTIFS(VEND[Cliente / Empresa],'INDICADORES (A)'!B58,VEND[Mes
Cotizacion],'INDICADORES (A)'!$E$52)</f>
        <v>2</v>
      </c>
      <c r="F58" s="37">
        <f>COUNTIFS(VEND[Cliente / Empresa],'INDICADORES (A)'!B58,VEND[Mes
Cotizacion],'INDICADORES (A)'!$F$52)</f>
        <v>0</v>
      </c>
      <c r="G58" s="37">
        <f>COUNTIFS(VEND[Cliente / Empresa],'INDICADORES (A)'!B58,VEND[Mes
Cotizacion],'INDICADORES (A)'!$G$52)</f>
        <v>0</v>
      </c>
      <c r="H58" s="37">
        <f>COUNTIFS(VEND[Cliente / Empresa],'INDICADORES (A)'!B58,VEND[Mes
Cotizacion],'INDICADORES (A)'!$H$52)</f>
        <v>0</v>
      </c>
      <c r="I58" s="37">
        <f>COUNTIFS(VEND[Cliente / Empresa],'INDICADORES (A)'!B58,VEND[Mes
Cotizacion],'INDICADORES (A)'!$I$52)</f>
        <v>0</v>
      </c>
      <c r="J58" s="37">
        <f>COUNTIFS(VEND[Cliente / Empresa],'INDICADORES (A)'!B58,VEND[Mes
Cotizacion],'INDICADORES (A)'!$J$52)</f>
        <v>0</v>
      </c>
      <c r="K58" s="37">
        <f>COUNTIFS(VEND[Cliente / Empresa],'INDICADORES (A)'!B58,VEND[Mes
Cotizacion],'INDICADORES (A)'!$K$52)</f>
        <v>0</v>
      </c>
      <c r="L58" s="37">
        <f>COUNTIFS(VEND[Cliente / Empresa],'INDICADORES (A)'!B58,VEND[Mes
Cotizacion],'INDICADORES (A)'!$L$52)</f>
        <v>0</v>
      </c>
      <c r="M58" s="37">
        <f>COUNTIFS(VEND[Cliente / Empresa],'INDICADORES (A)'!B58,VEND[Mes
Cotizacion],'INDICADORES (A)'!$M$52)</f>
        <v>0</v>
      </c>
      <c r="N58" s="110">
        <f>COUNTIFS(VEND[Cliente / Empresa],'INDICADORES (A)'!B58,VEND[Mes
Cotizacion],'INDICADORES (A)'!$N$52)</f>
        <v>0</v>
      </c>
      <c r="O58" s="103">
        <f t="shared" si="4"/>
        <v>2</v>
      </c>
      <c r="Q58" s="173" t="s">
        <v>1403</v>
      </c>
      <c r="R58" s="169">
        <f>SUMIFS(VEND[Monto Cotizado
($/Unid)],VEND[Estado/ Ciudad],'INDICADORES (A)'!Q58,VEND[Mes
Cotizacion],'INDICADORES (A)'!$C$28)</f>
        <v>0</v>
      </c>
      <c r="S58" s="169">
        <f>SUMIFS(VEND[Monto Cotizado
($/Unid)],VEND[Estado/ Ciudad],'INDICADORES (A)'!Q58,VEND[Mes
Cotizacion],'INDICADORES (A)'!$D$28)</f>
        <v>0</v>
      </c>
      <c r="T58" s="169">
        <f>SUMIFS(VEND[Monto Cotizado
($/Unid)],VEND[Estado/ Ciudad],'INDICADORES (A)'!Q58,VEND[Mes
Cotizacion],'INDICADORES (A)'!T$28)</f>
        <v>10055.77</v>
      </c>
      <c r="U58" s="169">
        <f>SUMIFS(VEND[Monto Cotizado
($/Unid)],VEND[Estado/ Ciudad],'INDICADORES (A)'!Q58,VEND[Mes
Cotizacion],'INDICADORES (A)'!$F$28)</f>
        <v>12106.09</v>
      </c>
      <c r="V58" s="169">
        <f>SUMIFS(VEND[Monto Cotizado
($/Unid)],VEND[Estado/ Ciudad],'INDICADORES (A)'!Q58,VEND[Mes
Cotizacion],'INDICADORES (A)'!$G$28)</f>
        <v>0</v>
      </c>
      <c r="W58" s="169">
        <f>SUMIFS(VEND[Monto Cotizado
($/Unid)],VEND[Estado/ Ciudad],'INDICADORES (A)'!Q58,VEND[Mes
Cotizacion],'INDICADORES (A)'!$H$28)</f>
        <v>0</v>
      </c>
      <c r="X58" s="169">
        <f>SUMIFS(VEND[Monto Cotizado
($/Unid)],VEND[Estado/ Ciudad],'INDICADORES (A)'!Q58,VEND[Mes
Cotizacion],'INDICADORES (A)'!X57)</f>
        <v>0</v>
      </c>
      <c r="Y58" s="169">
        <f>SUMIFS(VEND[Monto Cotizado
($/Unid)],VEND[Estado/ Ciudad],'INDICADORES (A)'!Q58,VEND[Mes
Cotizacion],'INDICADORES (A)'!$J$28)</f>
        <v>0</v>
      </c>
      <c r="Z58" s="169">
        <f>SUMIFS(VEND[Monto Cotizado
($/Unid)],VEND[Estado/ Ciudad],'INDICADORES (A)'!Q58,VEND[Mes
Cotizacion],'INDICADORES (A)'!$K$28)</f>
        <v>0</v>
      </c>
      <c r="AA58" s="169">
        <f>SUMIFS(VEND[Monto Cotizado
($/Unid)],VEND[Estado/ Ciudad],'INDICADORES (A)'!Q58,VEND[Mes
Cotizacion],'INDICADORES (A)'!$L$28)</f>
        <v>0</v>
      </c>
      <c r="AB58" s="169">
        <f>SUMIFS(VEND[Monto Cotizado
($/Unid)],VEND[Estado/ Ciudad],'INDICADORES (A)'!Q58,VEND[Mes
Cotizacion],'INDICADORES (A)'!$M$28)</f>
        <v>0</v>
      </c>
      <c r="AC58" s="169">
        <f>SUMIFS(VEND[Monto Cotizado
($/Unid)],VEND[Estado/ Ciudad],'INDICADORES (A)'!Q58,VEND[Mes
Cotizacion],'INDICADORES (A)'!$N$28)</f>
        <v>0</v>
      </c>
    </row>
    <row r="59" spans="1:29" x14ac:dyDescent="0.25">
      <c r="A59" s="209" t="s">
        <v>41</v>
      </c>
      <c r="B59" s="95" t="s">
        <v>413</v>
      </c>
      <c r="C59" s="37">
        <f>COUNTIFS(VEND[Cliente / Empresa],'INDICADORES (A)'!B59,VEND[Mes
Cotizacion],'INDICADORES (A)'!$C$52)</f>
        <v>0</v>
      </c>
      <c r="D59" s="37">
        <f>COUNTIFS(VEND[Cliente / Empresa],'INDICADORES (A)'!B59,VEND[Mes
Cotizacion],'INDICADORES (A)'!$D$52)</f>
        <v>0</v>
      </c>
      <c r="E59" s="37">
        <f>COUNTIFS(VEND[Cliente / Empresa],'INDICADORES (A)'!B59,VEND[Mes
Cotizacion],'INDICADORES (A)'!$E$52)</f>
        <v>0</v>
      </c>
      <c r="F59" s="37">
        <f>COUNTIFS(VEND[Cliente / Empresa],'INDICADORES (A)'!B59,VEND[Mes
Cotizacion],'INDICADORES (A)'!$F$52)</f>
        <v>2</v>
      </c>
      <c r="G59" s="37">
        <f>COUNTIFS(VEND[Cliente / Empresa],'INDICADORES (A)'!B59,VEND[Mes
Cotizacion],'INDICADORES (A)'!$G$52)</f>
        <v>0</v>
      </c>
      <c r="H59" s="37">
        <f>COUNTIFS(VEND[Cliente / Empresa],'INDICADORES (A)'!B59,VEND[Mes
Cotizacion],'INDICADORES (A)'!$H$52)</f>
        <v>1</v>
      </c>
      <c r="I59" s="37">
        <f>COUNTIFS(VEND[Cliente / Empresa],'INDICADORES (A)'!B59,VEND[Mes
Cotizacion],'INDICADORES (A)'!$I$52)</f>
        <v>0</v>
      </c>
      <c r="J59" s="37">
        <f>COUNTIFS(VEND[Cliente / Empresa],'INDICADORES (A)'!B59,VEND[Mes
Cotizacion],'INDICADORES (A)'!$J$52)</f>
        <v>0</v>
      </c>
      <c r="K59" s="37">
        <f>COUNTIFS(VEND[Cliente / Empresa],'INDICADORES (A)'!B59,VEND[Mes
Cotizacion],'INDICADORES (A)'!$K$52)</f>
        <v>0</v>
      </c>
      <c r="L59" s="37">
        <f>COUNTIFS(VEND[Cliente / Empresa],'INDICADORES (A)'!B59,VEND[Mes
Cotizacion],'INDICADORES (A)'!$L$52)</f>
        <v>0</v>
      </c>
      <c r="M59" s="37">
        <f>COUNTIFS(VEND[Cliente / Empresa],'INDICADORES (A)'!B59,VEND[Mes
Cotizacion],'INDICADORES (A)'!$M$52)</f>
        <v>0</v>
      </c>
      <c r="N59" s="110">
        <f>COUNTIFS(VEND[Cliente / Empresa],'INDICADORES (A)'!B59,VEND[Mes
Cotizacion],'INDICADORES (A)'!$N$52)</f>
        <v>0</v>
      </c>
      <c r="O59" s="103">
        <f t="shared" si="4"/>
        <v>3</v>
      </c>
      <c r="Q59" s="173" t="s">
        <v>1411</v>
      </c>
      <c r="R59" s="169">
        <f>SUMIFS(VEND[Monto Cotizado
($/Unid)],VEND[Estado/ Ciudad],'INDICADORES (A)'!Q59,VEND[Mes
Cotizacion],'INDICADORES (A)'!$C$28)</f>
        <v>0</v>
      </c>
      <c r="S59" s="169">
        <f>SUMIFS(VEND[Monto Cotizado
($/Unid)],VEND[Estado/ Ciudad],'INDICADORES (A)'!Q59,VEND[Mes
Cotizacion],'INDICADORES (A)'!$D$28)</f>
        <v>0</v>
      </c>
      <c r="T59" s="169">
        <f>SUMIFS(VEND[Monto Cotizado
($/Unid)],VEND[Estado/ Ciudad],'INDICADORES (A)'!Q59,VEND[Mes
Cotizacion],'INDICADORES (A)'!T$28)</f>
        <v>219</v>
      </c>
      <c r="U59" s="169">
        <f>SUMIFS(VEND[Monto Cotizado
($/Unid)],VEND[Estado/ Ciudad],'INDICADORES (A)'!Q59,VEND[Mes
Cotizacion],'INDICADORES (A)'!$F$28)</f>
        <v>0</v>
      </c>
      <c r="V59" s="169">
        <f>SUMIFS(VEND[Monto Cotizado
($/Unid)],VEND[Estado/ Ciudad],'INDICADORES (A)'!Q59,VEND[Mes
Cotizacion],'INDICADORES (A)'!$G$28)</f>
        <v>0</v>
      </c>
      <c r="W59" s="169">
        <f>SUMIFS(VEND[Monto Cotizado
($/Unid)],VEND[Estado/ Ciudad],'INDICADORES (A)'!Q59,VEND[Mes
Cotizacion],'INDICADORES (A)'!$H$28)</f>
        <v>4515.5</v>
      </c>
      <c r="X59" s="169">
        <f>SUMIFS(VEND[Monto Cotizado
($/Unid)],VEND[Estado/ Ciudad],'INDICADORES (A)'!Q59,VEND[Mes
Cotizacion],'INDICADORES (A)'!X58)</f>
        <v>0</v>
      </c>
      <c r="Y59" s="169">
        <f>SUMIFS(VEND[Monto Cotizado
($/Unid)],VEND[Estado/ Ciudad],'INDICADORES (A)'!Q59,VEND[Mes
Cotizacion],'INDICADORES (A)'!$J$28)</f>
        <v>0</v>
      </c>
      <c r="Z59" s="169">
        <f>SUMIFS(VEND[Monto Cotizado
($/Unid)],VEND[Estado/ Ciudad],'INDICADORES (A)'!Q59,VEND[Mes
Cotizacion],'INDICADORES (A)'!$K$28)</f>
        <v>0</v>
      </c>
      <c r="AA59" s="169">
        <f>SUMIFS(VEND[Monto Cotizado
($/Unid)],VEND[Estado/ Ciudad],'INDICADORES (A)'!Q59,VEND[Mes
Cotizacion],'INDICADORES (A)'!$L$28)</f>
        <v>0</v>
      </c>
      <c r="AB59" s="169">
        <f>SUMIFS(VEND[Monto Cotizado
($/Unid)],VEND[Estado/ Ciudad],'INDICADORES (A)'!Q59,VEND[Mes
Cotizacion],'INDICADORES (A)'!$M$28)</f>
        <v>0</v>
      </c>
      <c r="AC59" s="169">
        <f>SUMIFS(VEND[Monto Cotizado
($/Unid)],VEND[Estado/ Ciudad],'INDICADORES (A)'!Q59,VEND[Mes
Cotizacion],'INDICADORES (A)'!$N$28)</f>
        <v>0</v>
      </c>
    </row>
    <row r="60" spans="1:29" hidden="1" x14ac:dyDescent="0.25">
      <c r="A60" s="209" t="s">
        <v>68</v>
      </c>
      <c r="B60" s="95" t="s">
        <v>29</v>
      </c>
      <c r="C60" s="37">
        <f>COUNTIFS(VEND[Cliente / Empresa],'INDICADORES (A)'!B60,VEND[Mes
Cotizacion],'INDICADORES (A)'!$C$52)</f>
        <v>0</v>
      </c>
      <c r="D60" s="37">
        <f>COUNTIFS(VEND[Cliente / Empresa],'INDICADORES (A)'!B60,VEND[Mes
Cotizacion],'INDICADORES (A)'!$D$52)</f>
        <v>0</v>
      </c>
      <c r="E60" s="37">
        <f>COUNTIFS(VEND[Cliente / Empresa],'INDICADORES (A)'!B60,VEND[Mes
Cotizacion],'INDICADORES (A)'!$E$52)</f>
        <v>1</v>
      </c>
      <c r="F60" s="37">
        <f>COUNTIFS(VEND[Cliente / Empresa],'INDICADORES (A)'!B60,VEND[Mes
Cotizacion],'INDICADORES (A)'!$F$52)</f>
        <v>0</v>
      </c>
      <c r="G60" s="37">
        <f>COUNTIFS(VEND[Cliente / Empresa],'INDICADORES (A)'!B60,VEND[Mes
Cotizacion],'INDICADORES (A)'!$G$52)</f>
        <v>0</v>
      </c>
      <c r="H60" s="37">
        <f>COUNTIFS(VEND[Cliente / Empresa],'INDICADORES (A)'!B60,VEND[Mes
Cotizacion],'INDICADORES (A)'!$H$52)</f>
        <v>1</v>
      </c>
      <c r="I60" s="37">
        <f>COUNTIFS(VEND[Cliente / Empresa],'INDICADORES (A)'!B60,VEND[Mes
Cotizacion],'INDICADORES (A)'!$I$52)</f>
        <v>0</v>
      </c>
      <c r="J60" s="37">
        <f>COUNTIFS(VEND[Cliente / Empresa],'INDICADORES (A)'!B60,VEND[Mes
Cotizacion],'INDICADORES (A)'!$J$52)</f>
        <v>0</v>
      </c>
      <c r="K60" s="37">
        <f>COUNTIFS(VEND[Cliente / Empresa],'INDICADORES (A)'!B60,VEND[Mes
Cotizacion],'INDICADORES (A)'!$K$52)</f>
        <v>0</v>
      </c>
      <c r="L60" s="37">
        <f>COUNTIFS(VEND[Cliente / Empresa],'INDICADORES (A)'!B60,VEND[Mes
Cotizacion],'INDICADORES (A)'!$L$52)</f>
        <v>0</v>
      </c>
      <c r="M60" s="37">
        <f>COUNTIFS(VEND[Cliente / Empresa],'INDICADORES (A)'!B60,VEND[Mes
Cotizacion],'INDICADORES (A)'!$M$52)</f>
        <v>0</v>
      </c>
      <c r="N60" s="110">
        <f>COUNTIFS(VEND[Cliente / Empresa],'INDICADORES (A)'!B60,VEND[Mes
Cotizacion],'INDICADORES (A)'!$N$52)</f>
        <v>0</v>
      </c>
      <c r="O60" s="103">
        <f t="shared" si="4"/>
        <v>2</v>
      </c>
      <c r="Q60" s="173" t="s">
        <v>1410</v>
      </c>
      <c r="R60" s="169">
        <f>SUMIFS(VEND[Monto Cotizado
($/Unid)],VEND[Estado/ Ciudad],'INDICADORES (A)'!Q60,VEND[Mes
Cotizacion],'INDICADORES (A)'!$C$28)</f>
        <v>0</v>
      </c>
      <c r="S60" s="169">
        <f>SUMIFS(VEND[Monto Cotizado
($/Unid)],VEND[Estado/ Ciudad],'INDICADORES (A)'!Q60,VEND[Mes
Cotizacion],'INDICADORES (A)'!$D$28)</f>
        <v>0</v>
      </c>
      <c r="T60" s="169">
        <f>SUMIFS(VEND[Monto Cotizado
($/Unid)],VEND[Estado/ Ciudad],'INDICADORES (A)'!Q60,VEND[Mes
Cotizacion],'INDICADORES (A)'!T$28)</f>
        <v>7907.25</v>
      </c>
      <c r="U60" s="169">
        <f>SUMIFS(VEND[Monto Cotizado
($/Unid)],VEND[Estado/ Ciudad],'INDICADORES (A)'!Q60,VEND[Mes
Cotizacion],'INDICADORES (A)'!$F$28)</f>
        <v>3300.87</v>
      </c>
      <c r="V60" s="169">
        <f>SUMIFS(VEND[Monto Cotizado
($/Unid)],VEND[Estado/ Ciudad],'INDICADORES (A)'!Q60,VEND[Mes
Cotizacion],'INDICADORES (A)'!$G$28)</f>
        <v>12798.609999999999</v>
      </c>
      <c r="W60" s="169">
        <f>SUMIFS(VEND[Monto Cotizado
($/Unid)],VEND[Estado/ Ciudad],'INDICADORES (A)'!Q60,VEND[Mes
Cotizacion],'INDICADORES (A)'!$H$28)</f>
        <v>70605.929999999993</v>
      </c>
      <c r="X60" s="169">
        <f>SUMIFS(VEND[Monto Cotizado
($/Unid)],VEND[Estado/ Ciudad],'INDICADORES (A)'!Q60,VEND[Mes
Cotizacion],'INDICADORES (A)'!X59)</f>
        <v>0</v>
      </c>
      <c r="Y60" s="169">
        <f>SUMIFS(VEND[Monto Cotizado
($/Unid)],VEND[Estado/ Ciudad],'INDICADORES (A)'!Q60,VEND[Mes
Cotizacion],'INDICADORES (A)'!$J$28)</f>
        <v>0</v>
      </c>
      <c r="Z60" s="169">
        <f>SUMIFS(VEND[Monto Cotizado
($/Unid)],VEND[Estado/ Ciudad],'INDICADORES (A)'!Q60,VEND[Mes
Cotizacion],'INDICADORES (A)'!$K$28)</f>
        <v>0</v>
      </c>
      <c r="AA60" s="169">
        <f>SUMIFS(VEND[Monto Cotizado
($/Unid)],VEND[Estado/ Ciudad],'INDICADORES (A)'!Q60,VEND[Mes
Cotizacion],'INDICADORES (A)'!$L$28)</f>
        <v>0</v>
      </c>
      <c r="AB60" s="169">
        <f>SUMIFS(VEND[Monto Cotizado
($/Unid)],VEND[Estado/ Ciudad],'INDICADORES (A)'!Q60,VEND[Mes
Cotizacion],'INDICADORES (A)'!$M$28)</f>
        <v>0</v>
      </c>
      <c r="AC60" s="169">
        <f>SUMIFS(VEND[Monto Cotizado
($/Unid)],VEND[Estado/ Ciudad],'INDICADORES (A)'!Q60,VEND[Mes
Cotizacion],'INDICADORES (A)'!$N$28)</f>
        <v>0</v>
      </c>
    </row>
    <row r="61" spans="1:29" hidden="1" x14ac:dyDescent="0.25">
      <c r="A61" s="209" t="s">
        <v>50</v>
      </c>
      <c r="B61" s="95" t="s">
        <v>1066</v>
      </c>
      <c r="C61" s="37">
        <f>COUNTIFS(VEND[Cliente / Empresa],'INDICADORES (A)'!B61,VEND[Mes
Cotizacion],'INDICADORES (A)'!$C$52)</f>
        <v>0</v>
      </c>
      <c r="D61" s="37">
        <f>COUNTIFS(VEND[Cliente / Empresa],'INDICADORES (A)'!B61,VEND[Mes
Cotizacion],'INDICADORES (A)'!$D$52)</f>
        <v>1</v>
      </c>
      <c r="E61" s="37">
        <f>COUNTIFS(VEND[Cliente / Empresa],'INDICADORES (A)'!B61,VEND[Mes
Cotizacion],'INDICADORES (A)'!$E$52)</f>
        <v>0</v>
      </c>
      <c r="F61" s="37">
        <f>COUNTIFS(VEND[Cliente / Empresa],'INDICADORES (A)'!B61,VEND[Mes
Cotizacion],'INDICADORES (A)'!$F$52)</f>
        <v>0</v>
      </c>
      <c r="G61" s="37">
        <f>COUNTIFS(VEND[Cliente / Empresa],'INDICADORES (A)'!B61,VEND[Mes
Cotizacion],'INDICADORES (A)'!$G$52)</f>
        <v>3</v>
      </c>
      <c r="H61" s="37">
        <f>COUNTIFS(VEND[Cliente / Empresa],'INDICADORES (A)'!B61,VEND[Mes
Cotizacion],'INDICADORES (A)'!$H$52)</f>
        <v>0</v>
      </c>
      <c r="I61" s="37">
        <f>COUNTIFS(VEND[Cliente / Empresa],'INDICADORES (A)'!B61,VEND[Mes
Cotizacion],'INDICADORES (A)'!$I$52)</f>
        <v>0</v>
      </c>
      <c r="J61" s="37">
        <f>COUNTIFS(VEND[Cliente / Empresa],'INDICADORES (A)'!B61,VEND[Mes
Cotizacion],'INDICADORES (A)'!$J$52)</f>
        <v>0</v>
      </c>
      <c r="K61" s="37">
        <f>COUNTIFS(VEND[Cliente / Empresa],'INDICADORES (A)'!B61,VEND[Mes
Cotizacion],'INDICADORES (A)'!$K$52)</f>
        <v>0</v>
      </c>
      <c r="L61" s="37">
        <f>COUNTIFS(VEND[Cliente / Empresa],'INDICADORES (A)'!B61,VEND[Mes
Cotizacion],'INDICADORES (A)'!$L$52)</f>
        <v>0</v>
      </c>
      <c r="M61" s="37">
        <f>COUNTIFS(VEND[Cliente / Empresa],'INDICADORES (A)'!B61,VEND[Mes
Cotizacion],'INDICADORES (A)'!$M$52)</f>
        <v>0</v>
      </c>
      <c r="N61" s="110">
        <f>COUNTIFS(VEND[Cliente / Empresa],'INDICADORES (A)'!B61,VEND[Mes
Cotizacion],'INDICADORES (A)'!$N$52)</f>
        <v>0</v>
      </c>
      <c r="O61" s="103">
        <f t="shared" si="4"/>
        <v>4</v>
      </c>
      <c r="Q61" s="173" t="s">
        <v>1406</v>
      </c>
      <c r="R61" s="169">
        <f>SUMIFS(VEND[Monto Cotizado
($/Unid)],VEND[Estado/ Ciudad],'INDICADORES (A)'!Q61,VEND[Mes
Cotizacion],'INDICADORES (A)'!$C$28)</f>
        <v>0</v>
      </c>
      <c r="S61" s="169">
        <f>SUMIFS(VEND[Monto Cotizado
($/Unid)],VEND[Estado/ Ciudad],'INDICADORES (A)'!Q61,VEND[Mes
Cotizacion],'INDICADORES (A)'!$D$28)</f>
        <v>6484.64</v>
      </c>
      <c r="T61" s="169">
        <f>SUMIFS(VEND[Monto Cotizado
($/Unid)],VEND[Estado/ Ciudad],'INDICADORES (A)'!Q61,VEND[Mes
Cotizacion],'INDICADORES (A)'!T$28)</f>
        <v>1806.72</v>
      </c>
      <c r="U61" s="169">
        <f>SUMIFS(VEND[Monto Cotizado
($/Unid)],VEND[Estado/ Ciudad],'INDICADORES (A)'!Q61,VEND[Mes
Cotizacion],'INDICADORES (A)'!$F$28)</f>
        <v>7480</v>
      </c>
      <c r="V61" s="169">
        <f>SUMIFS(VEND[Monto Cotizado
($/Unid)],VEND[Estado/ Ciudad],'INDICADORES (A)'!Q61,VEND[Mes
Cotizacion],'INDICADORES (A)'!$G$28)</f>
        <v>18309.099999999999</v>
      </c>
      <c r="W61" s="169">
        <f>SUMIFS(VEND[Monto Cotizado
($/Unid)],VEND[Estado/ Ciudad],'INDICADORES (A)'!Q61,VEND[Mes
Cotizacion],'INDICADORES (A)'!$H$28)</f>
        <v>63939.76</v>
      </c>
      <c r="X61" s="169">
        <f>SUMIFS(VEND[Monto Cotizado
($/Unid)],VEND[Estado/ Ciudad],'INDICADORES (A)'!Q61,VEND[Mes
Cotizacion],'INDICADORES (A)'!X60)</f>
        <v>0</v>
      </c>
      <c r="Y61" s="169">
        <f>SUMIFS(VEND[Monto Cotizado
($/Unid)],VEND[Estado/ Ciudad],'INDICADORES (A)'!Q61,VEND[Mes
Cotizacion],'INDICADORES (A)'!$J$28)</f>
        <v>0</v>
      </c>
      <c r="Z61" s="169">
        <f>SUMIFS(VEND[Monto Cotizado
($/Unid)],VEND[Estado/ Ciudad],'INDICADORES (A)'!Q61,VEND[Mes
Cotizacion],'INDICADORES (A)'!$K$28)</f>
        <v>0</v>
      </c>
      <c r="AA61" s="169">
        <f>SUMIFS(VEND[Monto Cotizado
($/Unid)],VEND[Estado/ Ciudad],'INDICADORES (A)'!Q61,VEND[Mes
Cotizacion],'INDICADORES (A)'!$L$28)</f>
        <v>0</v>
      </c>
      <c r="AB61" s="169">
        <f>SUMIFS(VEND[Monto Cotizado
($/Unid)],VEND[Estado/ Ciudad],'INDICADORES (A)'!Q61,VEND[Mes
Cotizacion],'INDICADORES (A)'!$M$28)</f>
        <v>0</v>
      </c>
      <c r="AC61" s="169">
        <f>SUMIFS(VEND[Monto Cotizado
($/Unid)],VEND[Estado/ Ciudad],'INDICADORES (A)'!Q61,VEND[Mes
Cotizacion],'INDICADORES (A)'!$N$28)</f>
        <v>0</v>
      </c>
    </row>
    <row r="62" spans="1:29" hidden="1" x14ac:dyDescent="0.25">
      <c r="B62" s="95" t="s">
        <v>1018</v>
      </c>
      <c r="C62" s="37">
        <f>COUNTIFS(VEND[Cliente / Empresa],'INDICADORES (A)'!B62,VEND[Mes
Cotizacion],'INDICADORES (A)'!$C$52)</f>
        <v>0</v>
      </c>
      <c r="D62" s="37">
        <f>COUNTIFS(VEND[Cliente / Empresa],'INDICADORES (A)'!B62,VEND[Mes
Cotizacion],'INDICADORES (A)'!$D$52)</f>
        <v>2</v>
      </c>
      <c r="E62" s="37">
        <f>COUNTIFS(VEND[Cliente / Empresa],'INDICADORES (A)'!B62,VEND[Mes
Cotizacion],'INDICADORES (A)'!$E$52)</f>
        <v>0</v>
      </c>
      <c r="F62" s="37">
        <f>COUNTIFS(VEND[Cliente / Empresa],'INDICADORES (A)'!B62,VEND[Mes
Cotizacion],'INDICADORES (A)'!$F$52)</f>
        <v>0</v>
      </c>
      <c r="G62" s="37">
        <f>COUNTIFS(VEND[Cliente / Empresa],'INDICADORES (A)'!B62,VEND[Mes
Cotizacion],'INDICADORES (A)'!$G$52)</f>
        <v>0</v>
      </c>
      <c r="H62" s="37">
        <f>COUNTIFS(VEND[Cliente / Empresa],'INDICADORES (A)'!B62,VEND[Mes
Cotizacion],'INDICADORES (A)'!$H$52)</f>
        <v>0</v>
      </c>
      <c r="I62" s="37">
        <f>COUNTIFS(VEND[Cliente / Empresa],'INDICADORES (A)'!B62,VEND[Mes
Cotizacion],'INDICADORES (A)'!$I$52)</f>
        <v>0</v>
      </c>
      <c r="J62" s="37">
        <f>COUNTIFS(VEND[Cliente / Empresa],'INDICADORES (A)'!B62,VEND[Mes
Cotizacion],'INDICADORES (A)'!$J$52)</f>
        <v>0</v>
      </c>
      <c r="K62" s="37">
        <f>COUNTIFS(VEND[Cliente / Empresa],'INDICADORES (A)'!B62,VEND[Mes
Cotizacion],'INDICADORES (A)'!$K$52)</f>
        <v>0</v>
      </c>
      <c r="L62" s="37">
        <f>COUNTIFS(VEND[Cliente / Empresa],'INDICADORES (A)'!B62,VEND[Mes
Cotizacion],'INDICADORES (A)'!$L$52)</f>
        <v>0</v>
      </c>
      <c r="M62" s="37">
        <f>COUNTIFS(VEND[Cliente / Empresa],'INDICADORES (A)'!B62,VEND[Mes
Cotizacion],'INDICADORES (A)'!$M$52)</f>
        <v>0</v>
      </c>
      <c r="N62" s="110">
        <f>COUNTIFS(VEND[Cliente / Empresa],'INDICADORES (A)'!B62,VEND[Mes
Cotizacion],'INDICADORES (A)'!$N$52)</f>
        <v>0</v>
      </c>
      <c r="O62" s="103">
        <f t="shared" si="4"/>
        <v>2</v>
      </c>
      <c r="Q62" s="173" t="s">
        <v>1408</v>
      </c>
      <c r="R62" s="169">
        <f>SUMIFS(VEND[Monto Cotizado
($/Unid)],VEND[Estado/ Ciudad],'INDICADORES (A)'!Q62,VEND[Mes
Cotizacion],'INDICADORES (A)'!$C$28)</f>
        <v>0</v>
      </c>
      <c r="S62" s="169">
        <f>SUMIFS(VEND[Monto Cotizado
($/Unid)],VEND[Estado/ Ciudad],'INDICADORES (A)'!Q62,VEND[Mes
Cotizacion],'INDICADORES (A)'!$D$28)</f>
        <v>0</v>
      </c>
      <c r="T62" s="169">
        <f>SUMIFS(VEND[Monto Cotizado
($/Unid)],VEND[Estado/ Ciudad],'INDICADORES (A)'!Q62,VEND[Mes
Cotizacion],'INDICADORES (A)'!T$28)</f>
        <v>0</v>
      </c>
      <c r="U62" s="169">
        <f>SUMIFS(VEND[Monto Cotizado
($/Unid)],VEND[Estado/ Ciudad],'INDICADORES (A)'!Q62,VEND[Mes
Cotizacion],'INDICADORES (A)'!$F$28)</f>
        <v>3550.2</v>
      </c>
      <c r="V62" s="169">
        <f>SUMIFS(VEND[Monto Cotizado
($/Unid)],VEND[Estado/ Ciudad],'INDICADORES (A)'!Q62,VEND[Mes
Cotizacion],'INDICADORES (A)'!$G$28)</f>
        <v>4840.8</v>
      </c>
      <c r="W62" s="169">
        <f>SUMIFS(VEND[Monto Cotizado
($/Unid)],VEND[Estado/ Ciudad],'INDICADORES (A)'!Q62,VEND[Mes
Cotizacion],'INDICADORES (A)'!$H$28)</f>
        <v>0</v>
      </c>
      <c r="X62" s="169">
        <f>SUMIFS(VEND[Monto Cotizado
($/Unid)],VEND[Estado/ Ciudad],'INDICADORES (A)'!Q62,VEND[Mes
Cotizacion],'INDICADORES (A)'!X61)</f>
        <v>0</v>
      </c>
      <c r="Y62" s="169">
        <f>SUMIFS(VEND[Monto Cotizado
($/Unid)],VEND[Estado/ Ciudad],'INDICADORES (A)'!Q62,VEND[Mes
Cotizacion],'INDICADORES (A)'!$J$28)</f>
        <v>0</v>
      </c>
      <c r="Z62" s="169">
        <f>SUMIFS(VEND[Monto Cotizado
($/Unid)],VEND[Estado/ Ciudad],'INDICADORES (A)'!Q62,VEND[Mes
Cotizacion],'INDICADORES (A)'!$K$28)</f>
        <v>0</v>
      </c>
      <c r="AA62" s="169">
        <f>SUMIFS(VEND[Monto Cotizado
($/Unid)],VEND[Estado/ Ciudad],'INDICADORES (A)'!Q62,VEND[Mes
Cotizacion],'INDICADORES (A)'!$L$28)</f>
        <v>0</v>
      </c>
      <c r="AB62" s="169">
        <f>SUMIFS(VEND[Monto Cotizado
($/Unid)],VEND[Estado/ Ciudad],'INDICADORES (A)'!Q62,VEND[Mes
Cotizacion],'INDICADORES (A)'!$M$28)</f>
        <v>0</v>
      </c>
      <c r="AC62" s="169">
        <f>SUMIFS(VEND[Monto Cotizado
($/Unid)],VEND[Estado/ Ciudad],'INDICADORES (A)'!Q62,VEND[Mes
Cotizacion],'INDICADORES (A)'!$N$28)</f>
        <v>0</v>
      </c>
    </row>
    <row r="63" spans="1:29" x14ac:dyDescent="0.25">
      <c r="A63" s="209" t="s">
        <v>41</v>
      </c>
      <c r="B63" s="95" t="s">
        <v>40</v>
      </c>
      <c r="C63" s="37">
        <f>COUNTIFS(VEND[Cliente / Empresa],'INDICADORES (A)'!B63,VEND[Mes
Cotizacion],'INDICADORES (A)'!$C$52)</f>
        <v>0</v>
      </c>
      <c r="D63" s="37">
        <f>COUNTIFS(VEND[Cliente / Empresa],'INDICADORES (A)'!B63,VEND[Mes
Cotizacion],'INDICADORES (A)'!$D$52)</f>
        <v>0</v>
      </c>
      <c r="E63" s="37">
        <f>COUNTIFS(VEND[Cliente / Empresa],'INDICADORES (A)'!B63,VEND[Mes
Cotizacion],'INDICADORES (A)'!$E$52)</f>
        <v>1</v>
      </c>
      <c r="F63" s="37">
        <f>COUNTIFS(VEND[Cliente / Empresa],'INDICADORES (A)'!B63,VEND[Mes
Cotizacion],'INDICADORES (A)'!$F$52)</f>
        <v>3</v>
      </c>
      <c r="G63" s="37">
        <f>COUNTIFS(VEND[Cliente / Empresa],'INDICADORES (A)'!B63,VEND[Mes
Cotizacion],'INDICADORES (A)'!$G$52)</f>
        <v>1</v>
      </c>
      <c r="H63" s="37">
        <f>COUNTIFS(VEND[Cliente / Empresa],'INDICADORES (A)'!B63,VEND[Mes
Cotizacion],'INDICADORES (A)'!$H$52)</f>
        <v>0</v>
      </c>
      <c r="I63" s="37">
        <f>COUNTIFS(VEND[Cliente / Empresa],'INDICADORES (A)'!B63,VEND[Mes
Cotizacion],'INDICADORES (A)'!$I$52)</f>
        <v>0</v>
      </c>
      <c r="J63" s="37">
        <f>COUNTIFS(VEND[Cliente / Empresa],'INDICADORES (A)'!B63,VEND[Mes
Cotizacion],'INDICADORES (A)'!$J$52)</f>
        <v>0</v>
      </c>
      <c r="K63" s="37">
        <f>COUNTIFS(VEND[Cliente / Empresa],'INDICADORES (A)'!B63,VEND[Mes
Cotizacion],'INDICADORES (A)'!$K$52)</f>
        <v>0</v>
      </c>
      <c r="L63" s="37">
        <f>COUNTIFS(VEND[Cliente / Empresa],'INDICADORES (A)'!B63,VEND[Mes
Cotizacion],'INDICADORES (A)'!$L$52)</f>
        <v>0</v>
      </c>
      <c r="M63" s="37">
        <f>COUNTIFS(VEND[Cliente / Empresa],'INDICADORES (A)'!B63,VEND[Mes
Cotizacion],'INDICADORES (A)'!$M$52)</f>
        <v>0</v>
      </c>
      <c r="N63" s="110">
        <f>COUNTIFS(VEND[Cliente / Empresa],'INDICADORES (A)'!B63,VEND[Mes
Cotizacion],'INDICADORES (A)'!$N$52)</f>
        <v>0</v>
      </c>
      <c r="O63" s="103">
        <f t="shared" si="4"/>
        <v>5</v>
      </c>
      <c r="Q63" s="173" t="s">
        <v>1404</v>
      </c>
      <c r="R63" s="169">
        <f>SUMIFS(VEND[Monto Cotizado
($/Unid)],VEND[Estado/ Ciudad],'INDICADORES (A)'!Q63,VEND[Mes
Cotizacion],'INDICADORES (A)'!$C$28)</f>
        <v>0</v>
      </c>
      <c r="S63" s="169">
        <f>SUMIFS(VEND[Monto Cotizado
($/Unid)],VEND[Estado/ Ciudad],'INDICADORES (A)'!Q63,VEND[Mes
Cotizacion],'INDICADORES (A)'!$D$28)</f>
        <v>0</v>
      </c>
      <c r="T63" s="169">
        <f>SUMIFS(VEND[Monto Cotizado
($/Unid)],VEND[Estado/ Ciudad],'INDICADORES (A)'!Q63,VEND[Mes
Cotizacion],'INDICADORES (A)'!T$28)</f>
        <v>0</v>
      </c>
      <c r="U63" s="169">
        <f>SUMIFS(VEND[Monto Cotizado
($/Unid)],VEND[Estado/ Ciudad],'INDICADORES (A)'!Q63,VEND[Mes
Cotizacion],'INDICADORES (A)'!$F$28)</f>
        <v>0</v>
      </c>
      <c r="V63" s="169">
        <f>SUMIFS(VEND[Monto Cotizado
($/Unid)],VEND[Estado/ Ciudad],'INDICADORES (A)'!Q63,VEND[Mes
Cotizacion],'INDICADORES (A)'!$G$28)</f>
        <v>26189.919999999998</v>
      </c>
      <c r="W63" s="169">
        <f>SUMIFS(VEND[Monto Cotizado
($/Unid)],VEND[Estado/ Ciudad],'INDICADORES (A)'!Q63,VEND[Mes
Cotizacion],'INDICADORES (A)'!$H$28)</f>
        <v>47218.49</v>
      </c>
      <c r="X63" s="169">
        <f>SUMIFS(VEND[Monto Cotizado
($/Unid)],VEND[Estado/ Ciudad],'INDICADORES (A)'!Q63,VEND[Mes
Cotizacion],'INDICADORES (A)'!X62)</f>
        <v>0</v>
      </c>
      <c r="Y63" s="169">
        <f>SUMIFS(VEND[Monto Cotizado
($/Unid)],VEND[Estado/ Ciudad],'INDICADORES (A)'!Q63,VEND[Mes
Cotizacion],'INDICADORES (A)'!$J$28)</f>
        <v>0</v>
      </c>
      <c r="Z63" s="169">
        <f>SUMIFS(VEND[Monto Cotizado
($/Unid)],VEND[Estado/ Ciudad],'INDICADORES (A)'!Q63,VEND[Mes
Cotizacion],'INDICADORES (A)'!$K$28)</f>
        <v>0</v>
      </c>
      <c r="AA63" s="169">
        <f>SUMIFS(VEND[Monto Cotizado
($/Unid)],VEND[Estado/ Ciudad],'INDICADORES (A)'!Q63,VEND[Mes
Cotizacion],'INDICADORES (A)'!$L$28)</f>
        <v>0</v>
      </c>
      <c r="AB63" s="169">
        <f>SUMIFS(VEND[Monto Cotizado
($/Unid)],VEND[Estado/ Ciudad],'INDICADORES (A)'!Q63,VEND[Mes
Cotizacion],'INDICADORES (A)'!$M$28)</f>
        <v>0</v>
      </c>
      <c r="AC63" s="169">
        <f>SUMIFS(VEND[Monto Cotizado
($/Unid)],VEND[Estado/ Ciudad],'INDICADORES (A)'!Q63,VEND[Mes
Cotizacion],'INDICADORES (A)'!$N$28)</f>
        <v>0</v>
      </c>
    </row>
    <row r="64" spans="1:29" hidden="1" x14ac:dyDescent="0.25">
      <c r="A64" s="209" t="s">
        <v>155</v>
      </c>
      <c r="B64" s="95" t="s">
        <v>130</v>
      </c>
      <c r="C64" s="37">
        <f>COUNTIFS(VEND[Cliente / Empresa],'INDICADORES (A)'!B64,VEND[Mes
Cotizacion],'INDICADORES (A)'!$C$52)</f>
        <v>0</v>
      </c>
      <c r="D64" s="37">
        <f>COUNTIFS(VEND[Cliente / Empresa],'INDICADORES (A)'!B64,VEND[Mes
Cotizacion],'INDICADORES (A)'!$D$52)</f>
        <v>0</v>
      </c>
      <c r="E64" s="37">
        <f>COUNTIFS(VEND[Cliente / Empresa],'INDICADORES (A)'!B64,VEND[Mes
Cotizacion],'INDICADORES (A)'!$E$52)</f>
        <v>7</v>
      </c>
      <c r="F64" s="37">
        <f>COUNTIFS(VEND[Cliente / Empresa],'INDICADORES (A)'!B64,VEND[Mes
Cotizacion],'INDICADORES (A)'!$F$52)</f>
        <v>6</v>
      </c>
      <c r="G64" s="37">
        <f>COUNTIFS(VEND[Cliente / Empresa],'INDICADORES (A)'!B64,VEND[Mes
Cotizacion],'INDICADORES (A)'!$G$52)</f>
        <v>7</v>
      </c>
      <c r="H64" s="37">
        <f>COUNTIFS(VEND[Cliente / Empresa],'INDICADORES (A)'!B64,VEND[Mes
Cotizacion],'INDICADORES (A)'!$H$52)</f>
        <v>7</v>
      </c>
      <c r="I64" s="37">
        <f>COUNTIFS(VEND[Cliente / Empresa],'INDICADORES (A)'!B64,VEND[Mes
Cotizacion],'INDICADORES (A)'!$I$52)</f>
        <v>0</v>
      </c>
      <c r="J64" s="37">
        <f>COUNTIFS(VEND[Cliente / Empresa],'INDICADORES (A)'!B64,VEND[Mes
Cotizacion],'INDICADORES (A)'!$J$52)</f>
        <v>0</v>
      </c>
      <c r="K64" s="37">
        <f>COUNTIFS(VEND[Cliente / Empresa],'INDICADORES (A)'!B64,VEND[Mes
Cotizacion],'INDICADORES (A)'!$K$52)</f>
        <v>0</v>
      </c>
      <c r="L64" s="37">
        <f>COUNTIFS(VEND[Cliente / Empresa],'INDICADORES (A)'!B64,VEND[Mes
Cotizacion],'INDICADORES (A)'!$L$52)</f>
        <v>0</v>
      </c>
      <c r="M64" s="37">
        <f>COUNTIFS(VEND[Cliente / Empresa],'INDICADORES (A)'!B64,VEND[Mes
Cotizacion],'INDICADORES (A)'!$M$52)</f>
        <v>0</v>
      </c>
      <c r="N64" s="110">
        <f>COUNTIFS(VEND[Cliente / Empresa],'INDICADORES (A)'!B64,VEND[Mes
Cotizacion],'INDICADORES (A)'!$N$52)</f>
        <v>0</v>
      </c>
      <c r="O64" s="103">
        <f t="shared" si="4"/>
        <v>27</v>
      </c>
      <c r="Q64" s="173" t="s">
        <v>1505</v>
      </c>
      <c r="R64" s="169">
        <f>SUMIFS(VEND[Monto Cotizado
($/Unid)],VEND[Estado/ Ciudad],'INDICADORES (A)'!Q64,VEND[Mes
Cotizacion],'INDICADORES (A)'!$C$28)</f>
        <v>0</v>
      </c>
      <c r="S64" s="169">
        <f>SUMIFS(VEND[Monto Cotizado
($/Unid)],VEND[Estado/ Ciudad],'INDICADORES (A)'!Q64,VEND[Mes
Cotizacion],'INDICADORES (A)'!$D$28)</f>
        <v>0</v>
      </c>
      <c r="T64" s="169">
        <f>SUMIFS(VEND[Monto Cotizado
($/Unid)],VEND[Estado/ Ciudad],'INDICADORES (A)'!Q64,VEND[Mes
Cotizacion],'INDICADORES (A)'!T$28)</f>
        <v>0</v>
      </c>
      <c r="U64" s="169">
        <f>SUMIFS(VEND[Monto Cotizado
($/Unid)],VEND[Estado/ Ciudad],'INDICADORES (A)'!Q64,VEND[Mes
Cotizacion],'INDICADORES (A)'!$F$28)</f>
        <v>0</v>
      </c>
      <c r="V64" s="169">
        <f>SUMIFS(VEND[Monto Cotizado
($/Unid)],VEND[Estado/ Ciudad],'INDICADORES (A)'!Q64,VEND[Mes
Cotizacion],'INDICADORES (A)'!$G$28)</f>
        <v>136326.99</v>
      </c>
      <c r="W64" s="169">
        <f>SUMIFS(VEND[Monto Cotizado
($/Unid)],VEND[Estado/ Ciudad],'INDICADORES (A)'!Q64,VEND[Mes
Cotizacion],'INDICADORES (A)'!$H$28)</f>
        <v>11462.48</v>
      </c>
      <c r="X64" s="169">
        <f>SUMIFS(VEND[Monto Cotizado
($/Unid)],VEND[Estado/ Ciudad],'INDICADORES (A)'!Q64,VEND[Mes
Cotizacion],'INDICADORES (A)'!X63)</f>
        <v>0</v>
      </c>
      <c r="Y64" s="169">
        <f>SUMIFS(VEND[Monto Cotizado
($/Unid)],VEND[Estado/ Ciudad],'INDICADORES (A)'!Q64,VEND[Mes
Cotizacion],'INDICADORES (A)'!$J$28)</f>
        <v>0</v>
      </c>
      <c r="Z64" s="169">
        <f>SUMIFS(VEND[Monto Cotizado
($/Unid)],VEND[Estado/ Ciudad],'INDICADORES (A)'!Q64,VEND[Mes
Cotizacion],'INDICADORES (A)'!$K$28)</f>
        <v>0</v>
      </c>
      <c r="AA64" s="169">
        <f>SUMIFS(VEND[Monto Cotizado
($/Unid)],VEND[Estado/ Ciudad],'INDICADORES (A)'!Q64,VEND[Mes
Cotizacion],'INDICADORES (A)'!$L$28)</f>
        <v>0</v>
      </c>
      <c r="AB64" s="169">
        <f>SUMIFS(VEND[Monto Cotizado
($/Unid)],VEND[Estado/ Ciudad],'INDICADORES (A)'!Q64,VEND[Mes
Cotizacion],'INDICADORES (A)'!$M$28)</f>
        <v>0</v>
      </c>
      <c r="AC64" s="169">
        <f>SUMIFS(VEND[Monto Cotizado
($/Unid)],VEND[Estado/ Ciudad],'INDICADORES (A)'!Q64,VEND[Mes
Cotizacion],'INDICADORES (A)'!$N$28)</f>
        <v>0</v>
      </c>
    </row>
    <row r="65" spans="1:29" hidden="1" x14ac:dyDescent="0.25">
      <c r="B65" s="95" t="s">
        <v>49</v>
      </c>
      <c r="C65" s="37">
        <f>COUNTIFS(VEND[Cliente / Empresa],'INDICADORES (A)'!B65,VEND[Mes
Cotizacion],'INDICADORES (A)'!$C$52)</f>
        <v>0</v>
      </c>
      <c r="D65" s="37">
        <f>COUNTIFS(VEND[Cliente / Empresa],'INDICADORES (A)'!B65,VEND[Mes
Cotizacion],'INDICADORES (A)'!$D$52)</f>
        <v>0</v>
      </c>
      <c r="E65" s="37">
        <f>COUNTIFS(VEND[Cliente / Empresa],'INDICADORES (A)'!B65,VEND[Mes
Cotizacion],'INDICADORES (A)'!$E$52)</f>
        <v>1</v>
      </c>
      <c r="F65" s="37">
        <f>COUNTIFS(VEND[Cliente / Empresa],'INDICADORES (A)'!B65,VEND[Mes
Cotizacion],'INDICADORES (A)'!$F$52)</f>
        <v>0</v>
      </c>
      <c r="G65" s="37">
        <f>COUNTIFS(VEND[Cliente / Empresa],'INDICADORES (A)'!B65,VEND[Mes
Cotizacion],'INDICADORES (A)'!$G$52)</f>
        <v>0</v>
      </c>
      <c r="H65" s="37">
        <f>COUNTIFS(VEND[Cliente / Empresa],'INDICADORES (A)'!B65,VEND[Mes
Cotizacion],'INDICADORES (A)'!$H$52)</f>
        <v>0</v>
      </c>
      <c r="I65" s="37">
        <f>COUNTIFS(VEND[Cliente / Empresa],'INDICADORES (A)'!B65,VEND[Mes
Cotizacion],'INDICADORES (A)'!$I$52)</f>
        <v>0</v>
      </c>
      <c r="J65" s="37">
        <f>COUNTIFS(VEND[Cliente / Empresa],'INDICADORES (A)'!B65,VEND[Mes
Cotizacion],'INDICADORES (A)'!$J$52)</f>
        <v>0</v>
      </c>
      <c r="K65" s="37">
        <f>COUNTIFS(VEND[Cliente / Empresa],'INDICADORES (A)'!B65,VEND[Mes
Cotizacion],'INDICADORES (A)'!$K$52)</f>
        <v>0</v>
      </c>
      <c r="L65" s="37">
        <f>COUNTIFS(VEND[Cliente / Empresa],'INDICADORES (A)'!B65,VEND[Mes
Cotizacion],'INDICADORES (A)'!$L$52)</f>
        <v>0</v>
      </c>
      <c r="M65" s="37">
        <f>COUNTIFS(VEND[Cliente / Empresa],'INDICADORES (A)'!B65,VEND[Mes
Cotizacion],'INDICADORES (A)'!$M$52)</f>
        <v>0</v>
      </c>
      <c r="N65" s="110">
        <f>COUNTIFS(VEND[Cliente / Empresa],'INDICADORES (A)'!B65,VEND[Mes
Cotizacion],'INDICADORES (A)'!$N$52)</f>
        <v>0</v>
      </c>
      <c r="O65" s="103">
        <f t="shared" si="4"/>
        <v>1</v>
      </c>
      <c r="Q65" s="173" t="s">
        <v>1659</v>
      </c>
      <c r="R65" s="169">
        <f>SUMIFS(VEND[Monto Cotizado
($/Unid)],VEND[Estado/ Ciudad],'INDICADORES (A)'!Q65,VEND[Mes
Cotizacion],'INDICADORES (A)'!$C$28)</f>
        <v>0</v>
      </c>
      <c r="S65" s="169">
        <f>SUMIFS(VEND[Monto Cotizado
($/Unid)],VEND[Estado/ Ciudad],'INDICADORES (A)'!Q65,VEND[Mes
Cotizacion],'INDICADORES (A)'!$D$28)</f>
        <v>0</v>
      </c>
      <c r="T65" s="169">
        <f>SUMIFS(VEND[Monto Cotizado
($/Unid)],VEND[Estado/ Ciudad],'INDICADORES (A)'!Q65,VEND[Mes
Cotizacion],'INDICADORES (A)'!T$28)</f>
        <v>0</v>
      </c>
      <c r="U65" s="169">
        <f>SUMIFS(VEND[Monto Cotizado
($/Unid)],VEND[Estado/ Ciudad],'INDICADORES (A)'!Q65,VEND[Mes
Cotizacion],'INDICADORES (A)'!$F$28)</f>
        <v>0</v>
      </c>
      <c r="V65" s="169">
        <f>SUMIFS(VEND[Monto Cotizado
($/Unid)],VEND[Estado/ Ciudad],'INDICADORES (A)'!Q65,VEND[Mes
Cotizacion],'INDICADORES (A)'!$G$28)</f>
        <v>0</v>
      </c>
      <c r="W65" s="169">
        <f>SUMIFS(VEND[Monto Cotizado
($/Unid)],VEND[Estado/ Ciudad],'INDICADORES (A)'!Q65,VEND[Mes
Cotizacion],'INDICADORES (A)'!$H$28)</f>
        <v>0</v>
      </c>
      <c r="X65" s="169">
        <f>SUMIFS(VEND[Monto Cotizado
($/Unid)],VEND[Estado/ Ciudad],'INDICADORES (A)'!Q65,VEND[Mes
Cotizacion],'INDICADORES (A)'!X64)</f>
        <v>0</v>
      </c>
      <c r="Y65" s="169">
        <f>SUMIFS(VEND[Monto Cotizado
($/Unid)],VEND[Estado/ Ciudad],'INDICADORES (A)'!Q65,VEND[Mes
Cotizacion],'INDICADORES (A)'!$J$28)</f>
        <v>0</v>
      </c>
      <c r="Z65" s="169">
        <f>SUMIFS(VEND[Monto Cotizado
($/Unid)],VEND[Estado/ Ciudad],'INDICADORES (A)'!Q65,VEND[Mes
Cotizacion],'INDICADORES (A)'!$K$28)</f>
        <v>0</v>
      </c>
      <c r="AA65" s="169">
        <f>SUMIFS(VEND[Monto Cotizado
($/Unid)],VEND[Estado/ Ciudad],'INDICADORES (A)'!Q65,VEND[Mes
Cotizacion],'INDICADORES (A)'!$L$28)</f>
        <v>0</v>
      </c>
      <c r="AB65" s="169">
        <f>SUMIFS(VEND[Monto Cotizado
($/Unid)],VEND[Estado/ Ciudad],'INDICADORES (A)'!Q65,VEND[Mes
Cotizacion],'INDICADORES (A)'!$M$28)</f>
        <v>0</v>
      </c>
      <c r="AC65" s="169">
        <f>SUMIFS(VEND[Monto Cotizado
($/Unid)],VEND[Estado/ Ciudad],'INDICADORES (A)'!Q65,VEND[Mes
Cotizacion],'INDICADORES (A)'!$N$28)</f>
        <v>0</v>
      </c>
    </row>
    <row r="66" spans="1:29" ht="15.75" hidden="1" thickBot="1" x14ac:dyDescent="0.3">
      <c r="A66" s="209" t="s">
        <v>68</v>
      </c>
      <c r="B66" s="95" t="s">
        <v>1501</v>
      </c>
      <c r="C66" s="37">
        <f>COUNTIFS(VEND[Cliente / Empresa],'INDICADORES (A)'!B66,VEND[Mes
Cotizacion],'INDICADORES (A)'!$C$52)</f>
        <v>0</v>
      </c>
      <c r="D66" s="37">
        <f>COUNTIFS(VEND[Cliente / Empresa],'INDICADORES (A)'!B66,VEND[Mes
Cotizacion],'INDICADORES (A)'!$D$52)</f>
        <v>0</v>
      </c>
      <c r="E66" s="37">
        <f>COUNTIFS(VEND[Cliente / Empresa],'INDICADORES (A)'!B66,VEND[Mes
Cotizacion],'INDICADORES (A)'!$E$52)</f>
        <v>0</v>
      </c>
      <c r="F66" s="37">
        <f>COUNTIFS(VEND[Cliente / Empresa],'INDICADORES (A)'!B66,VEND[Mes
Cotizacion],'INDICADORES (A)'!$F$52)</f>
        <v>0</v>
      </c>
      <c r="G66" s="37">
        <f>COUNTIFS(VEND[Cliente / Empresa],'INDICADORES (A)'!B66,VEND[Mes
Cotizacion],'INDICADORES (A)'!$G$52)</f>
        <v>1</v>
      </c>
      <c r="H66" s="37">
        <f>COUNTIFS(VEND[Cliente / Empresa],'INDICADORES (A)'!B66,VEND[Mes
Cotizacion],'INDICADORES (A)'!$H$52)</f>
        <v>0</v>
      </c>
      <c r="I66" s="37">
        <f>COUNTIFS(VEND[Cliente / Empresa],'INDICADORES (A)'!B66,VEND[Mes
Cotizacion],'INDICADORES (A)'!$I$52)</f>
        <v>0</v>
      </c>
      <c r="J66" s="37">
        <f>COUNTIFS(VEND[Cliente / Empresa],'INDICADORES (A)'!B66,VEND[Mes
Cotizacion],'INDICADORES (A)'!$J$52)</f>
        <v>0</v>
      </c>
      <c r="K66" s="37">
        <f>COUNTIFS(VEND[Cliente / Empresa],'INDICADORES (A)'!B66,VEND[Mes
Cotizacion],'INDICADORES (A)'!$K$52)</f>
        <v>0</v>
      </c>
      <c r="L66" s="37">
        <f>COUNTIFS(VEND[Cliente / Empresa],'INDICADORES (A)'!B66,VEND[Mes
Cotizacion],'INDICADORES (A)'!$L$52)</f>
        <v>0</v>
      </c>
      <c r="M66" s="37">
        <f>COUNTIFS(VEND[Cliente / Empresa],'INDICADORES (A)'!B66,VEND[Mes
Cotizacion],'INDICADORES (A)'!$M$52)</f>
        <v>0</v>
      </c>
      <c r="N66" s="110">
        <f>COUNTIFS(VEND[Cliente / Empresa],'INDICADORES (A)'!B66,VEND[Mes
Cotizacion],'INDICADORES (A)'!$N$52)</f>
        <v>0</v>
      </c>
      <c r="O66" s="103">
        <f t="shared" si="4"/>
        <v>1</v>
      </c>
      <c r="Q66" s="206" t="s">
        <v>1799</v>
      </c>
      <c r="R66" s="179">
        <f>SUM(R53:R65)</f>
        <v>100331.8</v>
      </c>
      <c r="S66" s="179">
        <f t="shared" ref="S66:AC66" si="5">SUM(S53:S65)</f>
        <v>487686.6100000001</v>
      </c>
      <c r="T66" s="179">
        <f t="shared" si="5"/>
        <v>602026.89</v>
      </c>
      <c r="U66" s="179">
        <f t="shared" si="5"/>
        <v>1091218.7210000004</v>
      </c>
      <c r="V66" s="179">
        <f t="shared" si="5"/>
        <v>1222872.7499999998</v>
      </c>
      <c r="W66" s="179">
        <f t="shared" si="5"/>
        <v>973441.32000000007</v>
      </c>
      <c r="X66" s="179">
        <f t="shared" si="5"/>
        <v>0</v>
      </c>
      <c r="Y66" s="179">
        <f t="shared" si="5"/>
        <v>0</v>
      </c>
      <c r="Z66" s="179">
        <f t="shared" si="5"/>
        <v>0</v>
      </c>
      <c r="AA66" s="179">
        <f t="shared" si="5"/>
        <v>0</v>
      </c>
      <c r="AB66" s="179">
        <f t="shared" si="5"/>
        <v>0</v>
      </c>
      <c r="AC66" s="179">
        <f t="shared" si="5"/>
        <v>0</v>
      </c>
    </row>
    <row r="67" spans="1:29" hidden="1" x14ac:dyDescent="0.25">
      <c r="B67" s="95" t="s">
        <v>54</v>
      </c>
      <c r="C67" s="37">
        <f>COUNTIFS(VEND[Cliente / Empresa],'INDICADORES (A)'!B67,VEND[Mes
Cotizacion],'INDICADORES (A)'!$C$52)</f>
        <v>0</v>
      </c>
      <c r="D67" s="37">
        <f>COUNTIFS(VEND[Cliente / Empresa],'INDICADORES (A)'!B67,VEND[Mes
Cotizacion],'INDICADORES (A)'!$D$52)</f>
        <v>0</v>
      </c>
      <c r="E67" s="37">
        <f>COUNTIFS(VEND[Cliente / Empresa],'INDICADORES (A)'!B67,VEND[Mes
Cotizacion],'INDICADORES (A)'!$E$52)</f>
        <v>1</v>
      </c>
      <c r="F67" s="37">
        <f>COUNTIFS(VEND[Cliente / Empresa],'INDICADORES (A)'!B67,VEND[Mes
Cotizacion],'INDICADORES (A)'!$F$52)</f>
        <v>0</v>
      </c>
      <c r="G67" s="37">
        <f>COUNTIFS(VEND[Cliente / Empresa],'INDICADORES (A)'!B67,VEND[Mes
Cotizacion],'INDICADORES (A)'!$G$52)</f>
        <v>0</v>
      </c>
      <c r="H67" s="37">
        <f>COUNTIFS(VEND[Cliente / Empresa],'INDICADORES (A)'!B67,VEND[Mes
Cotizacion],'INDICADORES (A)'!$H$52)</f>
        <v>0</v>
      </c>
      <c r="I67" s="37">
        <f>COUNTIFS(VEND[Cliente / Empresa],'INDICADORES (A)'!B67,VEND[Mes
Cotizacion],'INDICADORES (A)'!$I$52)</f>
        <v>0</v>
      </c>
      <c r="J67" s="37">
        <f>COUNTIFS(VEND[Cliente / Empresa],'INDICADORES (A)'!B67,VEND[Mes
Cotizacion],'INDICADORES (A)'!$J$52)</f>
        <v>0</v>
      </c>
      <c r="K67" s="37">
        <f>COUNTIFS(VEND[Cliente / Empresa],'INDICADORES (A)'!B67,VEND[Mes
Cotizacion],'INDICADORES (A)'!$K$52)</f>
        <v>0</v>
      </c>
      <c r="L67" s="37">
        <f>COUNTIFS(VEND[Cliente / Empresa],'INDICADORES (A)'!B67,VEND[Mes
Cotizacion],'INDICADORES (A)'!$L$52)</f>
        <v>0</v>
      </c>
      <c r="M67" s="37">
        <f>COUNTIFS(VEND[Cliente / Empresa],'INDICADORES (A)'!B67,VEND[Mes
Cotizacion],'INDICADORES (A)'!$M$52)</f>
        <v>0</v>
      </c>
      <c r="N67" s="110">
        <f>COUNTIFS(VEND[Cliente / Empresa],'INDICADORES (A)'!B67,VEND[Mes
Cotizacion],'INDICADORES (A)'!$N$52)</f>
        <v>0</v>
      </c>
      <c r="O67" s="103">
        <f t="shared" si="4"/>
        <v>1</v>
      </c>
    </row>
    <row r="68" spans="1:29" x14ac:dyDescent="0.25">
      <c r="A68" s="209" t="s">
        <v>41</v>
      </c>
      <c r="B68" s="95" t="s">
        <v>94</v>
      </c>
      <c r="C68" s="37">
        <f>COUNTIFS(VEND[Cliente / Empresa],'INDICADORES (A)'!B68,VEND[Mes
Cotizacion],'INDICADORES (A)'!$C$52)</f>
        <v>0</v>
      </c>
      <c r="D68" s="37">
        <f>COUNTIFS(VEND[Cliente / Empresa],'INDICADORES (A)'!B68,VEND[Mes
Cotizacion],'INDICADORES (A)'!$D$52)</f>
        <v>0</v>
      </c>
      <c r="E68" s="37">
        <f>COUNTIFS(VEND[Cliente / Empresa],'INDICADORES (A)'!B68,VEND[Mes
Cotizacion],'INDICADORES (A)'!$E$52)</f>
        <v>1</v>
      </c>
      <c r="F68" s="37">
        <f>COUNTIFS(VEND[Cliente / Empresa],'INDICADORES (A)'!B68,VEND[Mes
Cotizacion],'INDICADORES (A)'!$F$52)</f>
        <v>0</v>
      </c>
      <c r="G68" s="37">
        <f>COUNTIFS(VEND[Cliente / Empresa],'INDICADORES (A)'!B68,VEND[Mes
Cotizacion],'INDICADORES (A)'!$G$52)</f>
        <v>3</v>
      </c>
      <c r="H68" s="37">
        <f>COUNTIFS(VEND[Cliente / Empresa],'INDICADORES (A)'!B68,VEND[Mes
Cotizacion],'INDICADORES (A)'!$H$52)</f>
        <v>1</v>
      </c>
      <c r="I68" s="37">
        <f>COUNTIFS(VEND[Cliente / Empresa],'INDICADORES (A)'!B68,VEND[Mes
Cotizacion],'INDICADORES (A)'!$I$52)</f>
        <v>0</v>
      </c>
      <c r="J68" s="37">
        <f>COUNTIFS(VEND[Cliente / Empresa],'INDICADORES (A)'!B68,VEND[Mes
Cotizacion],'INDICADORES (A)'!$J$52)</f>
        <v>0</v>
      </c>
      <c r="K68" s="37">
        <f>COUNTIFS(VEND[Cliente / Empresa],'INDICADORES (A)'!B68,VEND[Mes
Cotizacion],'INDICADORES (A)'!$K$52)</f>
        <v>0</v>
      </c>
      <c r="L68" s="37">
        <f>COUNTIFS(VEND[Cliente / Empresa],'INDICADORES (A)'!B68,VEND[Mes
Cotizacion],'INDICADORES (A)'!$L$52)</f>
        <v>0</v>
      </c>
      <c r="M68" s="37">
        <f>COUNTIFS(VEND[Cliente / Empresa],'INDICADORES (A)'!B68,VEND[Mes
Cotizacion],'INDICADORES (A)'!$M$52)</f>
        <v>0</v>
      </c>
      <c r="N68" s="110">
        <f>COUNTIFS(VEND[Cliente / Empresa],'INDICADORES (A)'!B68,VEND[Mes
Cotizacion],'INDICADORES (A)'!$N$52)</f>
        <v>0</v>
      </c>
      <c r="O68" s="103">
        <f t="shared" si="4"/>
        <v>5</v>
      </c>
    </row>
    <row r="69" spans="1:29" ht="15.75" hidden="1" thickBot="1" x14ac:dyDescent="0.3">
      <c r="B69" s="95" t="s">
        <v>72</v>
      </c>
      <c r="C69" s="37">
        <f>COUNTIFS(VEND[Cliente / Empresa],'INDICADORES (A)'!B69,VEND[Mes
Cotizacion],'INDICADORES (A)'!$C$52)</f>
        <v>0</v>
      </c>
      <c r="D69" s="37">
        <f>COUNTIFS(VEND[Cliente / Empresa],'INDICADORES (A)'!B69,VEND[Mes
Cotizacion],'INDICADORES (A)'!$D$52)</f>
        <v>0</v>
      </c>
      <c r="E69" s="37">
        <f>COUNTIFS(VEND[Cliente / Empresa],'INDICADORES (A)'!B69,VEND[Mes
Cotizacion],'INDICADORES (A)'!$E$52)</f>
        <v>1</v>
      </c>
      <c r="F69" s="37">
        <f>COUNTIFS(VEND[Cliente / Empresa],'INDICADORES (A)'!B69,VEND[Mes
Cotizacion],'INDICADORES (A)'!$F$52)</f>
        <v>0</v>
      </c>
      <c r="G69" s="37">
        <f>COUNTIFS(VEND[Cliente / Empresa],'INDICADORES (A)'!B69,VEND[Mes
Cotizacion],'INDICADORES (A)'!$G$52)</f>
        <v>0</v>
      </c>
      <c r="H69" s="37">
        <f>COUNTIFS(VEND[Cliente / Empresa],'INDICADORES (A)'!B69,VEND[Mes
Cotizacion],'INDICADORES (A)'!$H$52)</f>
        <v>0</v>
      </c>
      <c r="I69" s="37">
        <f>COUNTIFS(VEND[Cliente / Empresa],'INDICADORES (A)'!B69,VEND[Mes
Cotizacion],'INDICADORES (A)'!$I$52)</f>
        <v>0</v>
      </c>
      <c r="J69" s="37">
        <f>COUNTIFS(VEND[Cliente / Empresa],'INDICADORES (A)'!B69,VEND[Mes
Cotizacion],'INDICADORES (A)'!$J$52)</f>
        <v>0</v>
      </c>
      <c r="K69" s="37">
        <f>COUNTIFS(VEND[Cliente / Empresa],'INDICADORES (A)'!B69,VEND[Mes
Cotizacion],'INDICADORES (A)'!$K$52)</f>
        <v>0</v>
      </c>
      <c r="L69" s="37">
        <f>COUNTIFS(VEND[Cliente / Empresa],'INDICADORES (A)'!B69,VEND[Mes
Cotizacion],'INDICADORES (A)'!$L$52)</f>
        <v>0</v>
      </c>
      <c r="M69" s="37">
        <f>COUNTIFS(VEND[Cliente / Empresa],'INDICADORES (A)'!B69,VEND[Mes
Cotizacion],'INDICADORES (A)'!$M$52)</f>
        <v>0</v>
      </c>
      <c r="N69" s="110">
        <f>COUNTIFS(VEND[Cliente / Empresa],'INDICADORES (A)'!B69,VEND[Mes
Cotizacion],'INDICADORES (A)'!$N$52)</f>
        <v>0</v>
      </c>
      <c r="O69" s="103">
        <f t="shared" si="4"/>
        <v>1</v>
      </c>
      <c r="Q69" s="242" t="s">
        <v>1802</v>
      </c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</row>
    <row r="70" spans="1:29" hidden="1" x14ac:dyDescent="0.25">
      <c r="B70" s="95" t="s">
        <v>143</v>
      </c>
      <c r="C70" s="37">
        <f>COUNTIFS(VEND[Cliente / Empresa],'INDICADORES (A)'!B70,VEND[Mes
Cotizacion],'INDICADORES (A)'!$C$52)</f>
        <v>0</v>
      </c>
      <c r="D70" s="37">
        <f>COUNTIFS(VEND[Cliente / Empresa],'INDICADORES (A)'!B70,VEND[Mes
Cotizacion],'INDICADORES (A)'!$D$52)</f>
        <v>0</v>
      </c>
      <c r="E70" s="37">
        <f>COUNTIFS(VEND[Cliente / Empresa],'INDICADORES (A)'!B70,VEND[Mes
Cotizacion],'INDICADORES (A)'!$E$52)</f>
        <v>0</v>
      </c>
      <c r="F70" s="37">
        <f>COUNTIFS(VEND[Cliente / Empresa],'INDICADORES (A)'!B70,VEND[Mes
Cotizacion],'INDICADORES (A)'!$F$52)</f>
        <v>1</v>
      </c>
      <c r="G70" s="37">
        <f>COUNTIFS(VEND[Cliente / Empresa],'INDICADORES (A)'!B70,VEND[Mes
Cotizacion],'INDICADORES (A)'!$G$52)</f>
        <v>0</v>
      </c>
      <c r="H70" s="37">
        <f>COUNTIFS(VEND[Cliente / Empresa],'INDICADORES (A)'!B70,VEND[Mes
Cotizacion],'INDICADORES (A)'!$H$52)</f>
        <v>0</v>
      </c>
      <c r="I70" s="37">
        <f>COUNTIFS(VEND[Cliente / Empresa],'INDICADORES (A)'!B70,VEND[Mes
Cotizacion],'INDICADORES (A)'!$I$52)</f>
        <v>0</v>
      </c>
      <c r="J70" s="37">
        <f>COUNTIFS(VEND[Cliente / Empresa],'INDICADORES (A)'!B70,VEND[Mes
Cotizacion],'INDICADORES (A)'!$J$52)</f>
        <v>0</v>
      </c>
      <c r="K70" s="37">
        <f>COUNTIFS(VEND[Cliente / Empresa],'INDICADORES (A)'!B70,VEND[Mes
Cotizacion],'INDICADORES (A)'!$K$52)</f>
        <v>0</v>
      </c>
      <c r="L70" s="37">
        <f>COUNTIFS(VEND[Cliente / Empresa],'INDICADORES (A)'!B70,VEND[Mes
Cotizacion],'INDICADORES (A)'!$L$52)</f>
        <v>0</v>
      </c>
      <c r="M70" s="37">
        <f>COUNTIFS(VEND[Cliente / Empresa],'INDICADORES (A)'!B70,VEND[Mes
Cotizacion],'INDICADORES (A)'!$M$52)</f>
        <v>0</v>
      </c>
      <c r="N70" s="110">
        <f>COUNTIFS(VEND[Cliente / Empresa],'INDICADORES (A)'!B70,VEND[Mes
Cotizacion],'INDICADORES (A)'!$N$52)</f>
        <v>0</v>
      </c>
      <c r="O70" s="103">
        <f t="shared" si="4"/>
        <v>1</v>
      </c>
      <c r="Q70" s="37" t="s">
        <v>1668</v>
      </c>
      <c r="R70" s="37" t="s">
        <v>1643</v>
      </c>
      <c r="S70" s="37" t="s">
        <v>1644</v>
      </c>
      <c r="T70" s="37" t="s">
        <v>1635</v>
      </c>
      <c r="U70" s="37" t="s">
        <v>1642</v>
      </c>
      <c r="V70" s="37" t="s">
        <v>1641</v>
      </c>
      <c r="W70" s="37" t="s">
        <v>1652</v>
      </c>
      <c r="X70" s="37" t="s">
        <v>201</v>
      </c>
      <c r="Y70" s="37" t="s">
        <v>1653</v>
      </c>
      <c r="Z70" s="37" t="s">
        <v>1654</v>
      </c>
      <c r="AA70" s="37" t="s">
        <v>1655</v>
      </c>
      <c r="AB70" s="37" t="s">
        <v>1656</v>
      </c>
      <c r="AC70" s="37" t="s">
        <v>1657</v>
      </c>
    </row>
    <row r="71" spans="1:29" hidden="1" x14ac:dyDescent="0.25">
      <c r="B71" s="95" t="s">
        <v>13</v>
      </c>
      <c r="C71" s="37">
        <f>COUNTIFS(VEND[Cliente / Empresa],'INDICADORES (A)'!B71,VEND[Mes
Cotizacion],'INDICADORES (A)'!$C$52)</f>
        <v>0</v>
      </c>
      <c r="D71" s="37">
        <f>COUNTIFS(VEND[Cliente / Empresa],'INDICADORES (A)'!B71,VEND[Mes
Cotizacion],'INDICADORES (A)'!$D$52)</f>
        <v>0</v>
      </c>
      <c r="E71" s="37">
        <f>COUNTIFS(VEND[Cliente / Empresa],'INDICADORES (A)'!B71,VEND[Mes
Cotizacion],'INDICADORES (A)'!$E$52)</f>
        <v>2</v>
      </c>
      <c r="F71" s="37">
        <f>COUNTIFS(VEND[Cliente / Empresa],'INDICADORES (A)'!B71,VEND[Mes
Cotizacion],'INDICADORES (A)'!$F$52)</f>
        <v>0</v>
      </c>
      <c r="G71" s="37">
        <f>COUNTIFS(VEND[Cliente / Empresa],'INDICADORES (A)'!B71,VEND[Mes
Cotizacion],'INDICADORES (A)'!$G$52)</f>
        <v>0</v>
      </c>
      <c r="H71" s="37">
        <f>COUNTIFS(VEND[Cliente / Empresa],'INDICADORES (A)'!B71,VEND[Mes
Cotizacion],'INDICADORES (A)'!$H$52)</f>
        <v>0</v>
      </c>
      <c r="I71" s="37">
        <f>COUNTIFS(VEND[Cliente / Empresa],'INDICADORES (A)'!B71,VEND[Mes
Cotizacion],'INDICADORES (A)'!$I$52)</f>
        <v>0</v>
      </c>
      <c r="J71" s="37">
        <f>COUNTIFS(VEND[Cliente / Empresa],'INDICADORES (A)'!B71,VEND[Mes
Cotizacion],'INDICADORES (A)'!$J$52)</f>
        <v>0</v>
      </c>
      <c r="K71" s="37">
        <f>COUNTIFS(VEND[Cliente / Empresa],'INDICADORES (A)'!B71,VEND[Mes
Cotizacion],'INDICADORES (A)'!$K$52)</f>
        <v>0</v>
      </c>
      <c r="L71" s="37">
        <f>COUNTIFS(VEND[Cliente / Empresa],'INDICADORES (A)'!B71,VEND[Mes
Cotizacion],'INDICADORES (A)'!$L$52)</f>
        <v>0</v>
      </c>
      <c r="M71" s="37">
        <f>COUNTIFS(VEND[Cliente / Empresa],'INDICADORES (A)'!B71,VEND[Mes
Cotizacion],'INDICADORES (A)'!$M$52)</f>
        <v>0</v>
      </c>
      <c r="N71" s="110">
        <f>COUNTIFS(VEND[Cliente / Empresa],'INDICADORES (A)'!B71,VEND[Mes
Cotizacion],'INDICADORES (A)'!$N$52)</f>
        <v>0</v>
      </c>
      <c r="O71" s="103">
        <f t="shared" si="4"/>
        <v>2</v>
      </c>
      <c r="Q71" s="37" t="s">
        <v>1409</v>
      </c>
      <c r="R71" s="37">
        <f>COUNTIFS(VEND[Estado/ Ciudad],'INDICADORES (A)'!Q71,VEND[Mes
Cotizacion],'INDICADORES (A)'!$R$28)</f>
        <v>12</v>
      </c>
      <c r="S71" s="37">
        <f>COUNTIFS(VEND[Estado/ Ciudad],'INDICADORES (A)'!Q71,VEND[Mes
Cotizacion],'INDICADORES (A)'!$S$28)</f>
        <v>16</v>
      </c>
      <c r="T71" s="37">
        <f>COUNTIFS(VEND[Estado/ Ciudad],'INDICADORES (A)'!Q71,VEND[Mes
Cotizacion],'INDICADORES (A)'!$T$28)</f>
        <v>31</v>
      </c>
      <c r="U71" s="37">
        <f>COUNTIFS(VEND[Estado/ Ciudad],'INDICADORES (A)'!Q71,VEND[Mes
Cotizacion],'INDICADORES (A)'!$U$28)</f>
        <v>54</v>
      </c>
      <c r="V71" s="37">
        <f>COUNTIFS(VEND[Estado/ Ciudad],'INDICADORES (A)'!Q71,VEND[Mes
Cotizacion],'INDICADORES (A)'!$V$28)</f>
        <v>64</v>
      </c>
      <c r="W71" s="37">
        <f>COUNTIFS(VEND[Estado/ Ciudad],'INDICADORES (A)'!Q71,VEND[Mes
Cotizacion],'INDICADORES (A)'!$W$28)</f>
        <v>38</v>
      </c>
      <c r="X71" s="37">
        <f>COUNTIFS(VEND[Estado/ Ciudad],'INDICADORES (A)'!Q71,VEND[Mes
Cotizacion],'INDICADORES (A)'!$X$28)</f>
        <v>0</v>
      </c>
      <c r="Y71" s="37">
        <f>COUNTIFS(VEND[Estado/ Ciudad],'INDICADORES (A)'!Q71,VEND[Mes
Cotizacion],'INDICADORES (A)'!$Y$28)</f>
        <v>0</v>
      </c>
      <c r="Z71" s="37">
        <f>COUNTIFS(VEND[Estado/ Ciudad],'INDICADORES (A)'!Q71,VEND[Mes
Cotizacion],'INDICADORES (A)'!$Z$28)</f>
        <v>0</v>
      </c>
      <c r="AA71" s="37">
        <f>COUNTIFS(VEND[Estado/ Ciudad],'INDICADORES (A)'!Q71,VEND[Mes
Cotizacion],'INDICADORES (A)'!$AA$28)</f>
        <v>0</v>
      </c>
      <c r="AB71" s="37">
        <f>COUNTIFS(VEND[Estado/ Ciudad],'INDICADORES (A)'!Q71,VEND[Mes
Cotizacion],'INDICADORES (A)'!$AB$28)</f>
        <v>0</v>
      </c>
      <c r="AC71" s="37">
        <f>COUNTIFS(VEND[Estado/ Ciudad],'INDICADORES (A)'!Q71,VEND[Mes
Cotizacion],'INDICADORES (A)'!$AC$28)</f>
        <v>0</v>
      </c>
    </row>
    <row r="72" spans="1:29" hidden="1" x14ac:dyDescent="0.25">
      <c r="A72" s="209" t="s">
        <v>68</v>
      </c>
      <c r="B72" s="95" t="s">
        <v>96</v>
      </c>
      <c r="C72" s="37">
        <f>COUNTIFS(VEND[Cliente / Empresa],'INDICADORES (A)'!B72,VEND[Mes
Cotizacion],'INDICADORES (A)'!$C$52)</f>
        <v>0</v>
      </c>
      <c r="D72" s="37">
        <f>COUNTIFS(VEND[Cliente / Empresa],'INDICADORES (A)'!B72,VEND[Mes
Cotizacion],'INDICADORES (A)'!$D$52)</f>
        <v>2</v>
      </c>
      <c r="E72" s="37">
        <f>COUNTIFS(VEND[Cliente / Empresa],'INDICADORES (A)'!B72,VEND[Mes
Cotizacion],'INDICADORES (A)'!$E$52)</f>
        <v>5</v>
      </c>
      <c r="F72" s="37">
        <f>COUNTIFS(VEND[Cliente / Empresa],'INDICADORES (A)'!B72,VEND[Mes
Cotizacion],'INDICADORES (A)'!$F$52)</f>
        <v>6</v>
      </c>
      <c r="G72" s="37">
        <f>COUNTIFS(VEND[Cliente / Empresa],'INDICADORES (A)'!B72,VEND[Mes
Cotizacion],'INDICADORES (A)'!$G$52)</f>
        <v>4</v>
      </c>
      <c r="H72" s="37">
        <f>COUNTIFS(VEND[Cliente / Empresa],'INDICADORES (A)'!B72,VEND[Mes
Cotizacion],'INDICADORES (A)'!$H$52)</f>
        <v>3</v>
      </c>
      <c r="I72" s="37">
        <f>COUNTIFS(VEND[Cliente / Empresa],'INDICADORES (A)'!B72,VEND[Mes
Cotizacion],'INDICADORES (A)'!$I$52)</f>
        <v>0</v>
      </c>
      <c r="J72" s="37">
        <f>COUNTIFS(VEND[Cliente / Empresa],'INDICADORES (A)'!B72,VEND[Mes
Cotizacion],'INDICADORES (A)'!$J$52)</f>
        <v>0</v>
      </c>
      <c r="K72" s="37">
        <f>COUNTIFS(VEND[Cliente / Empresa],'INDICADORES (A)'!B72,VEND[Mes
Cotizacion],'INDICADORES (A)'!$K$52)</f>
        <v>0</v>
      </c>
      <c r="L72" s="37">
        <f>COUNTIFS(VEND[Cliente / Empresa],'INDICADORES (A)'!B72,VEND[Mes
Cotizacion],'INDICADORES (A)'!$L$52)</f>
        <v>0</v>
      </c>
      <c r="M72" s="37">
        <f>COUNTIFS(VEND[Cliente / Empresa],'INDICADORES (A)'!B72,VEND[Mes
Cotizacion],'INDICADORES (A)'!$M$52)</f>
        <v>0</v>
      </c>
      <c r="N72" s="110">
        <f>COUNTIFS(VEND[Cliente / Empresa],'INDICADORES (A)'!B72,VEND[Mes
Cotizacion],'INDICADORES (A)'!$N$52)</f>
        <v>0</v>
      </c>
      <c r="O72" s="103">
        <f t="shared" si="4"/>
        <v>20</v>
      </c>
      <c r="Q72" s="37" t="s">
        <v>1401</v>
      </c>
      <c r="R72" s="37">
        <f>COUNTIFS(VEND[Estado/ Ciudad],'INDICADORES (A)'!Q72,VEND[Mes
Cotizacion],'INDICADORES (A)'!$R$28)</f>
        <v>0</v>
      </c>
      <c r="S72" s="37">
        <f>COUNTIFS(VEND[Estado/ Ciudad],'INDICADORES (A)'!Q72,VEND[Mes
Cotizacion],'INDICADORES (A)'!$S$28)</f>
        <v>8</v>
      </c>
      <c r="T72" s="37">
        <f>COUNTIFS(VEND[Estado/ Ciudad],'INDICADORES (A)'!Q72,VEND[Mes
Cotizacion],'INDICADORES (A)'!$T$28)</f>
        <v>34</v>
      </c>
      <c r="U72" s="37">
        <f>COUNTIFS(VEND[Estado/ Ciudad],'INDICADORES (A)'!Q72,VEND[Mes
Cotizacion],'INDICADORES (A)'!$U$28)</f>
        <v>38</v>
      </c>
      <c r="V72" s="37">
        <f>COUNTIFS(VEND[Estado/ Ciudad],'INDICADORES (A)'!Q72,VEND[Mes
Cotizacion],'INDICADORES (A)'!$V$28)</f>
        <v>48</v>
      </c>
      <c r="W72" s="37">
        <f>COUNTIFS(VEND[Estado/ Ciudad],'INDICADORES (A)'!Q72,VEND[Mes
Cotizacion],'INDICADORES (A)'!$W$28)</f>
        <v>34</v>
      </c>
      <c r="X72" s="37">
        <f>COUNTIFS(VEND[Estado/ Ciudad],'INDICADORES (A)'!Q72,VEND[Mes
Cotizacion],'INDICADORES (A)'!$X$28)</f>
        <v>0</v>
      </c>
      <c r="Y72" s="37">
        <f>COUNTIFS(VEND[Estado/ Ciudad],'INDICADORES (A)'!Q72,VEND[Mes
Cotizacion],'INDICADORES (A)'!$Y$28)</f>
        <v>0</v>
      </c>
      <c r="Z72" s="37">
        <f>COUNTIFS(VEND[Estado/ Ciudad],'INDICADORES (A)'!Q72,VEND[Mes
Cotizacion],'INDICADORES (A)'!$Z$28)</f>
        <v>0</v>
      </c>
      <c r="AA72" s="37">
        <f>COUNTIFS(VEND[Estado/ Ciudad],'INDICADORES (A)'!Q72,VEND[Mes
Cotizacion],'INDICADORES (A)'!$AA$28)</f>
        <v>0</v>
      </c>
      <c r="AB72" s="37">
        <f>COUNTIFS(VEND[Estado/ Ciudad],'INDICADORES (A)'!Q72,VEND[Mes
Cotizacion],'INDICADORES (A)'!$AB$28)</f>
        <v>0</v>
      </c>
      <c r="AC72" s="37">
        <f>COUNTIFS(VEND[Estado/ Ciudad],'INDICADORES (A)'!Q72,VEND[Mes
Cotizacion],'INDICADORES (A)'!$AC$28)</f>
        <v>0</v>
      </c>
    </row>
    <row r="73" spans="1:29" hidden="1" x14ac:dyDescent="0.25">
      <c r="B73" s="95" t="s">
        <v>74</v>
      </c>
      <c r="C73" s="37">
        <f>COUNTIFS(VEND[Cliente / Empresa],'INDICADORES (A)'!B73,VEND[Mes
Cotizacion],'INDICADORES (A)'!$C$52)</f>
        <v>0</v>
      </c>
      <c r="D73" s="37">
        <f>COUNTIFS(VEND[Cliente / Empresa],'INDICADORES (A)'!B73,VEND[Mes
Cotizacion],'INDICADORES (A)'!$D$52)</f>
        <v>0</v>
      </c>
      <c r="E73" s="37">
        <f>COUNTIFS(VEND[Cliente / Empresa],'INDICADORES (A)'!B73,VEND[Mes
Cotizacion],'INDICADORES (A)'!$E$52)</f>
        <v>1</v>
      </c>
      <c r="F73" s="37">
        <f>COUNTIFS(VEND[Cliente / Empresa],'INDICADORES (A)'!B73,VEND[Mes
Cotizacion],'INDICADORES (A)'!$F$52)</f>
        <v>0</v>
      </c>
      <c r="G73" s="37">
        <f>COUNTIFS(VEND[Cliente / Empresa],'INDICADORES (A)'!B73,VEND[Mes
Cotizacion],'INDICADORES (A)'!$G$52)</f>
        <v>0</v>
      </c>
      <c r="H73" s="37">
        <f>COUNTIFS(VEND[Cliente / Empresa],'INDICADORES (A)'!B73,VEND[Mes
Cotizacion],'INDICADORES (A)'!$H$52)</f>
        <v>1</v>
      </c>
      <c r="I73" s="37">
        <f>COUNTIFS(VEND[Cliente / Empresa],'INDICADORES (A)'!B73,VEND[Mes
Cotizacion],'INDICADORES (A)'!$I$52)</f>
        <v>0</v>
      </c>
      <c r="J73" s="37">
        <f>COUNTIFS(VEND[Cliente / Empresa],'INDICADORES (A)'!B73,VEND[Mes
Cotizacion],'INDICADORES (A)'!$J$52)</f>
        <v>0</v>
      </c>
      <c r="K73" s="37">
        <f>COUNTIFS(VEND[Cliente / Empresa],'INDICADORES (A)'!B73,VEND[Mes
Cotizacion],'INDICADORES (A)'!$K$52)</f>
        <v>0</v>
      </c>
      <c r="L73" s="37">
        <f>COUNTIFS(VEND[Cliente / Empresa],'INDICADORES (A)'!B73,VEND[Mes
Cotizacion],'INDICADORES (A)'!$L$52)</f>
        <v>0</v>
      </c>
      <c r="M73" s="37">
        <f>COUNTIFS(VEND[Cliente / Empresa],'INDICADORES (A)'!B73,VEND[Mes
Cotizacion],'INDICADORES (A)'!$M$52)</f>
        <v>0</v>
      </c>
      <c r="N73" s="110">
        <f>COUNTIFS(VEND[Cliente / Empresa],'INDICADORES (A)'!B73,VEND[Mes
Cotizacion],'INDICADORES (A)'!$N$52)</f>
        <v>0</v>
      </c>
      <c r="O73" s="103">
        <f t="shared" si="4"/>
        <v>2</v>
      </c>
      <c r="Q73" s="37" t="s">
        <v>1402</v>
      </c>
      <c r="R73" s="37">
        <f>COUNTIFS(VEND[Estado/ Ciudad],'INDICADORES (A)'!Q73,VEND[Mes
Cotizacion],'INDICADORES (A)'!$R$28)</f>
        <v>0</v>
      </c>
      <c r="S73" s="37">
        <f>COUNTIFS(VEND[Estado/ Ciudad],'INDICADORES (A)'!Q73,VEND[Mes
Cotizacion],'INDICADORES (A)'!$S$28)</f>
        <v>7</v>
      </c>
      <c r="T73" s="37">
        <f>COUNTIFS(VEND[Estado/ Ciudad],'INDICADORES (A)'!Q73,VEND[Mes
Cotizacion],'INDICADORES (A)'!$T$28)</f>
        <v>39</v>
      </c>
      <c r="U73" s="37">
        <f>COUNTIFS(VEND[Estado/ Ciudad],'INDICADORES (A)'!Q73,VEND[Mes
Cotizacion],'INDICADORES (A)'!$U$28)</f>
        <v>46</v>
      </c>
      <c r="V73" s="37">
        <f>COUNTIFS(VEND[Estado/ Ciudad],'INDICADORES (A)'!Q73,VEND[Mes
Cotizacion],'INDICADORES (A)'!$V$28)</f>
        <v>69</v>
      </c>
      <c r="W73" s="37">
        <f>COUNTIFS(VEND[Estado/ Ciudad],'INDICADORES (A)'!Q73,VEND[Mes
Cotizacion],'INDICADORES (A)'!$W$28)</f>
        <v>54</v>
      </c>
      <c r="X73" s="37">
        <f>COUNTIFS(VEND[Estado/ Ciudad],'INDICADORES (A)'!Q73,VEND[Mes
Cotizacion],'INDICADORES (A)'!$X$28)</f>
        <v>0</v>
      </c>
      <c r="Y73" s="37">
        <f>COUNTIFS(VEND[Estado/ Ciudad],'INDICADORES (A)'!Q73,VEND[Mes
Cotizacion],'INDICADORES (A)'!$Y$28)</f>
        <v>0</v>
      </c>
      <c r="Z73" s="37">
        <f>COUNTIFS(VEND[Estado/ Ciudad],'INDICADORES (A)'!Q73,VEND[Mes
Cotizacion],'INDICADORES (A)'!$Z$28)</f>
        <v>0</v>
      </c>
      <c r="AA73" s="37">
        <f>COUNTIFS(VEND[Estado/ Ciudad],'INDICADORES (A)'!Q73,VEND[Mes
Cotizacion],'INDICADORES (A)'!$AA$28)</f>
        <v>0</v>
      </c>
      <c r="AB73" s="37">
        <f>COUNTIFS(VEND[Estado/ Ciudad],'INDICADORES (A)'!Q73,VEND[Mes
Cotizacion],'INDICADORES (A)'!$AB$28)</f>
        <v>0</v>
      </c>
      <c r="AC73" s="37">
        <f>COUNTIFS(VEND[Estado/ Ciudad],'INDICADORES (A)'!Q73,VEND[Mes
Cotizacion],'INDICADORES (A)'!$AC$28)</f>
        <v>0</v>
      </c>
    </row>
    <row r="74" spans="1:29" hidden="1" x14ac:dyDescent="0.25">
      <c r="B74" s="95" t="s">
        <v>1027</v>
      </c>
      <c r="C74" s="37">
        <f>COUNTIFS(VEND[Cliente / Empresa],'INDICADORES (A)'!B74,VEND[Mes
Cotizacion],'INDICADORES (A)'!$C$52)</f>
        <v>0</v>
      </c>
      <c r="D74" s="37">
        <f>COUNTIFS(VEND[Cliente / Empresa],'INDICADORES (A)'!B74,VEND[Mes
Cotizacion],'INDICADORES (A)'!$D$52)</f>
        <v>1</v>
      </c>
      <c r="E74" s="37">
        <f>COUNTIFS(VEND[Cliente / Empresa],'INDICADORES (A)'!B74,VEND[Mes
Cotizacion],'INDICADORES (A)'!$E$52)</f>
        <v>0</v>
      </c>
      <c r="F74" s="37">
        <f>COUNTIFS(VEND[Cliente / Empresa],'INDICADORES (A)'!B74,VEND[Mes
Cotizacion],'INDICADORES (A)'!$F$52)</f>
        <v>0</v>
      </c>
      <c r="G74" s="37">
        <f>COUNTIFS(VEND[Cliente / Empresa],'INDICADORES (A)'!B74,VEND[Mes
Cotizacion],'INDICADORES (A)'!$G$52)</f>
        <v>0</v>
      </c>
      <c r="H74" s="37">
        <f>COUNTIFS(VEND[Cliente / Empresa],'INDICADORES (A)'!B74,VEND[Mes
Cotizacion],'INDICADORES (A)'!$H$52)</f>
        <v>0</v>
      </c>
      <c r="I74" s="37">
        <f>COUNTIFS(VEND[Cliente / Empresa],'INDICADORES (A)'!B74,VEND[Mes
Cotizacion],'INDICADORES (A)'!$I$52)</f>
        <v>0</v>
      </c>
      <c r="J74" s="37">
        <f>COUNTIFS(VEND[Cliente / Empresa],'INDICADORES (A)'!B74,VEND[Mes
Cotizacion],'INDICADORES (A)'!$J$52)</f>
        <v>0</v>
      </c>
      <c r="K74" s="37">
        <f>COUNTIFS(VEND[Cliente / Empresa],'INDICADORES (A)'!B74,VEND[Mes
Cotizacion],'INDICADORES (A)'!$K$52)</f>
        <v>0</v>
      </c>
      <c r="L74" s="37">
        <f>COUNTIFS(VEND[Cliente / Empresa],'INDICADORES (A)'!B74,VEND[Mes
Cotizacion],'INDICADORES (A)'!$L$52)</f>
        <v>0</v>
      </c>
      <c r="M74" s="37">
        <f>COUNTIFS(VEND[Cliente / Empresa],'INDICADORES (A)'!B74,VEND[Mes
Cotizacion],'INDICADORES (A)'!$M$52)</f>
        <v>0</v>
      </c>
      <c r="N74" s="110">
        <f>COUNTIFS(VEND[Cliente / Empresa],'INDICADORES (A)'!B74,VEND[Mes
Cotizacion],'INDICADORES (A)'!$N$52)</f>
        <v>0</v>
      </c>
      <c r="O74" s="103">
        <f t="shared" si="4"/>
        <v>1</v>
      </c>
      <c r="Q74" s="37" t="s">
        <v>1405</v>
      </c>
      <c r="R74" s="37">
        <f>COUNTIFS(VEND[Estado/ Ciudad],'INDICADORES (A)'!Q74,VEND[Mes
Cotizacion],'INDICADORES (A)'!$R$28)</f>
        <v>0</v>
      </c>
      <c r="S74" s="37">
        <f>COUNTIFS(VEND[Estado/ Ciudad],'INDICADORES (A)'!Q74,VEND[Mes
Cotizacion],'INDICADORES (A)'!$S$28)</f>
        <v>9</v>
      </c>
      <c r="T74" s="37">
        <f>COUNTIFS(VEND[Estado/ Ciudad],'INDICADORES (A)'!Q74,VEND[Mes
Cotizacion],'INDICADORES (A)'!$T$28)</f>
        <v>2</v>
      </c>
      <c r="U74" s="37">
        <f>COUNTIFS(VEND[Estado/ Ciudad],'INDICADORES (A)'!Q74,VEND[Mes
Cotizacion],'INDICADORES (A)'!$U$28)</f>
        <v>2</v>
      </c>
      <c r="V74" s="37">
        <f>COUNTIFS(VEND[Estado/ Ciudad],'INDICADORES (A)'!Q74,VEND[Mes
Cotizacion],'INDICADORES (A)'!$V$28)</f>
        <v>2</v>
      </c>
      <c r="W74" s="37">
        <f>COUNTIFS(VEND[Estado/ Ciudad],'INDICADORES (A)'!Q74,VEND[Mes
Cotizacion],'INDICADORES (A)'!$W$28)</f>
        <v>10</v>
      </c>
      <c r="X74" s="37">
        <f>COUNTIFS(VEND[Estado/ Ciudad],'INDICADORES (A)'!Q74,VEND[Mes
Cotizacion],'INDICADORES (A)'!$X$28)</f>
        <v>0</v>
      </c>
      <c r="Y74" s="37">
        <f>COUNTIFS(VEND[Estado/ Ciudad],'INDICADORES (A)'!Q74,VEND[Mes
Cotizacion],'INDICADORES (A)'!$Y$28)</f>
        <v>0</v>
      </c>
      <c r="Z74" s="37">
        <f>COUNTIFS(VEND[Estado/ Ciudad],'INDICADORES (A)'!Q74,VEND[Mes
Cotizacion],'INDICADORES (A)'!$Z$28)</f>
        <v>0</v>
      </c>
      <c r="AA74" s="37">
        <f>COUNTIFS(VEND[Estado/ Ciudad],'INDICADORES (A)'!Q74,VEND[Mes
Cotizacion],'INDICADORES (A)'!$AA$28)</f>
        <v>0</v>
      </c>
      <c r="AB74" s="37">
        <f>COUNTIFS(VEND[Estado/ Ciudad],'INDICADORES (A)'!Q74,VEND[Mes
Cotizacion],'INDICADORES (A)'!$AB$28)</f>
        <v>0</v>
      </c>
      <c r="AC74" s="37">
        <f>COUNTIFS(VEND[Estado/ Ciudad],'INDICADORES (A)'!Q74,VEND[Mes
Cotizacion],'INDICADORES (A)'!$AC$28)</f>
        <v>0</v>
      </c>
    </row>
    <row r="75" spans="1:29" hidden="1" x14ac:dyDescent="0.25">
      <c r="B75" s="95" t="s">
        <v>82</v>
      </c>
      <c r="C75" s="37">
        <f>COUNTIFS(VEND[Cliente / Empresa],'INDICADORES (A)'!B75,VEND[Mes
Cotizacion],'INDICADORES (A)'!$C$52)</f>
        <v>0</v>
      </c>
      <c r="D75" s="37">
        <f>COUNTIFS(VEND[Cliente / Empresa],'INDICADORES (A)'!B75,VEND[Mes
Cotizacion],'INDICADORES (A)'!$D$52)</f>
        <v>0</v>
      </c>
      <c r="E75" s="37">
        <f>COUNTIFS(VEND[Cliente / Empresa],'INDICADORES (A)'!B75,VEND[Mes
Cotizacion],'INDICADORES (A)'!$E$52)</f>
        <v>2</v>
      </c>
      <c r="F75" s="37">
        <f>COUNTIFS(VEND[Cliente / Empresa],'INDICADORES (A)'!B75,VEND[Mes
Cotizacion],'INDICADORES (A)'!$F$52)</f>
        <v>0</v>
      </c>
      <c r="G75" s="37">
        <f>COUNTIFS(VEND[Cliente / Empresa],'INDICADORES (A)'!B75,VEND[Mes
Cotizacion],'INDICADORES (A)'!$G$52)</f>
        <v>0</v>
      </c>
      <c r="H75" s="37">
        <f>COUNTIFS(VEND[Cliente / Empresa],'INDICADORES (A)'!B75,VEND[Mes
Cotizacion],'INDICADORES (A)'!$H$52)</f>
        <v>0</v>
      </c>
      <c r="I75" s="37">
        <f>COUNTIFS(VEND[Cliente / Empresa],'INDICADORES (A)'!B75,VEND[Mes
Cotizacion],'INDICADORES (A)'!$I$52)</f>
        <v>0</v>
      </c>
      <c r="J75" s="37">
        <f>COUNTIFS(VEND[Cliente / Empresa],'INDICADORES (A)'!B75,VEND[Mes
Cotizacion],'INDICADORES (A)'!$J$52)</f>
        <v>0</v>
      </c>
      <c r="K75" s="37">
        <f>COUNTIFS(VEND[Cliente / Empresa],'INDICADORES (A)'!B75,VEND[Mes
Cotizacion],'INDICADORES (A)'!$K$52)</f>
        <v>0</v>
      </c>
      <c r="L75" s="37">
        <f>COUNTIFS(VEND[Cliente / Empresa],'INDICADORES (A)'!B75,VEND[Mes
Cotizacion],'INDICADORES (A)'!$L$52)</f>
        <v>0</v>
      </c>
      <c r="M75" s="37">
        <f>COUNTIFS(VEND[Cliente / Empresa],'INDICADORES (A)'!B75,VEND[Mes
Cotizacion],'INDICADORES (A)'!$M$52)</f>
        <v>0</v>
      </c>
      <c r="N75" s="110">
        <f>COUNTIFS(VEND[Cliente / Empresa],'INDICADORES (A)'!B75,VEND[Mes
Cotizacion],'INDICADORES (A)'!$N$52)</f>
        <v>0</v>
      </c>
      <c r="O75" s="103">
        <f t="shared" si="4"/>
        <v>2</v>
      </c>
      <c r="Q75" s="37" t="s">
        <v>1407</v>
      </c>
      <c r="R75" s="37">
        <f>COUNTIFS(VEND[Estado/ Ciudad],'INDICADORES (A)'!Q75,VEND[Mes
Cotizacion],'INDICADORES (A)'!$R$28)</f>
        <v>0</v>
      </c>
      <c r="S75" s="37">
        <f>COUNTIFS(VEND[Estado/ Ciudad],'INDICADORES (A)'!Q75,VEND[Mes
Cotizacion],'INDICADORES (A)'!$S$28)</f>
        <v>0</v>
      </c>
      <c r="T75" s="37">
        <f>COUNTIFS(VEND[Estado/ Ciudad],'INDICADORES (A)'!Q75,VEND[Mes
Cotizacion],'INDICADORES (A)'!$T$28)</f>
        <v>5</v>
      </c>
      <c r="U75" s="37">
        <f>COUNTIFS(VEND[Estado/ Ciudad],'INDICADORES (A)'!Q75,VEND[Mes
Cotizacion],'INDICADORES (A)'!$U$28)</f>
        <v>3</v>
      </c>
      <c r="V75" s="37">
        <f>COUNTIFS(VEND[Estado/ Ciudad],'INDICADORES (A)'!Q75,VEND[Mes
Cotizacion],'INDICADORES (A)'!$V$28)</f>
        <v>6</v>
      </c>
      <c r="W75" s="37">
        <f>COUNTIFS(VEND[Estado/ Ciudad],'INDICADORES (A)'!Q75,VEND[Mes
Cotizacion],'INDICADORES (A)'!$W$28)</f>
        <v>3</v>
      </c>
      <c r="X75" s="37">
        <f>COUNTIFS(VEND[Estado/ Ciudad],'INDICADORES (A)'!Q75,VEND[Mes
Cotizacion],'INDICADORES (A)'!$X$28)</f>
        <v>0</v>
      </c>
      <c r="Y75" s="37">
        <f>COUNTIFS(VEND[Estado/ Ciudad],'INDICADORES (A)'!Q75,VEND[Mes
Cotizacion],'INDICADORES (A)'!$Y$28)</f>
        <v>0</v>
      </c>
      <c r="Z75" s="37">
        <f>COUNTIFS(VEND[Estado/ Ciudad],'INDICADORES (A)'!Q75,VEND[Mes
Cotizacion],'INDICADORES (A)'!$Z$28)</f>
        <v>0</v>
      </c>
      <c r="AA75" s="37">
        <f>COUNTIFS(VEND[Estado/ Ciudad],'INDICADORES (A)'!Q75,VEND[Mes
Cotizacion],'INDICADORES (A)'!$AA$28)</f>
        <v>0</v>
      </c>
      <c r="AB75" s="37">
        <f>COUNTIFS(VEND[Estado/ Ciudad],'INDICADORES (A)'!Q75,VEND[Mes
Cotizacion],'INDICADORES (A)'!$AB$28)</f>
        <v>0</v>
      </c>
      <c r="AC75" s="37">
        <f>COUNTIFS(VEND[Estado/ Ciudad],'INDICADORES (A)'!Q75,VEND[Mes
Cotizacion],'INDICADORES (A)'!$AC$28)</f>
        <v>0</v>
      </c>
    </row>
    <row r="76" spans="1:29" hidden="1" x14ac:dyDescent="0.25">
      <c r="A76" s="209" t="s">
        <v>68</v>
      </c>
      <c r="B76" s="95" t="s">
        <v>139</v>
      </c>
      <c r="C76" s="37">
        <f>COUNTIFS(VEND[Cliente / Empresa],'INDICADORES (A)'!B76,VEND[Mes
Cotizacion],'INDICADORES (A)'!$C$52)</f>
        <v>0</v>
      </c>
      <c r="D76" s="37">
        <f>COUNTIFS(VEND[Cliente / Empresa],'INDICADORES (A)'!B76,VEND[Mes
Cotizacion],'INDICADORES (A)'!$D$52)</f>
        <v>0</v>
      </c>
      <c r="E76" s="37">
        <f>COUNTIFS(VEND[Cliente / Empresa],'INDICADORES (A)'!B76,VEND[Mes
Cotizacion],'INDICADORES (A)'!$E$52)</f>
        <v>0</v>
      </c>
      <c r="F76" s="37">
        <f>COUNTIFS(VEND[Cliente / Empresa],'INDICADORES (A)'!B76,VEND[Mes
Cotizacion],'INDICADORES (A)'!$F$52)</f>
        <v>1</v>
      </c>
      <c r="G76" s="37">
        <f>COUNTIFS(VEND[Cliente / Empresa],'INDICADORES (A)'!B76,VEND[Mes
Cotizacion],'INDICADORES (A)'!$G$52)</f>
        <v>0</v>
      </c>
      <c r="H76" s="37">
        <f>COUNTIFS(VEND[Cliente / Empresa],'INDICADORES (A)'!B76,VEND[Mes
Cotizacion],'INDICADORES (A)'!$H$52)</f>
        <v>0</v>
      </c>
      <c r="I76" s="37">
        <f>COUNTIFS(VEND[Cliente / Empresa],'INDICADORES (A)'!B76,VEND[Mes
Cotizacion],'INDICADORES (A)'!$I$52)</f>
        <v>0</v>
      </c>
      <c r="J76" s="37">
        <f>COUNTIFS(VEND[Cliente / Empresa],'INDICADORES (A)'!B76,VEND[Mes
Cotizacion],'INDICADORES (A)'!$J$52)</f>
        <v>0</v>
      </c>
      <c r="K76" s="37">
        <f>COUNTIFS(VEND[Cliente / Empresa],'INDICADORES (A)'!B76,VEND[Mes
Cotizacion],'INDICADORES (A)'!$K$52)</f>
        <v>0</v>
      </c>
      <c r="L76" s="37">
        <f>COUNTIFS(VEND[Cliente / Empresa],'INDICADORES (A)'!B76,VEND[Mes
Cotizacion],'INDICADORES (A)'!$L$52)</f>
        <v>0</v>
      </c>
      <c r="M76" s="37">
        <f>COUNTIFS(VEND[Cliente / Empresa],'INDICADORES (A)'!B76,VEND[Mes
Cotizacion],'INDICADORES (A)'!$M$52)</f>
        <v>0</v>
      </c>
      <c r="N76" s="110">
        <f>COUNTIFS(VEND[Cliente / Empresa],'INDICADORES (A)'!B76,VEND[Mes
Cotizacion],'INDICADORES (A)'!$N$52)</f>
        <v>0</v>
      </c>
      <c r="O76" s="103">
        <f t="shared" si="4"/>
        <v>1</v>
      </c>
      <c r="Q76" s="37" t="s">
        <v>1403</v>
      </c>
      <c r="R76" s="37">
        <f>COUNTIFS(VEND[Estado/ Ciudad],'INDICADORES (A)'!Q76,VEND[Mes
Cotizacion],'INDICADORES (A)'!$R$28)</f>
        <v>0</v>
      </c>
      <c r="S76" s="37">
        <f>COUNTIFS(VEND[Estado/ Ciudad],'INDICADORES (A)'!Q76,VEND[Mes
Cotizacion],'INDICADORES (A)'!$S$28)</f>
        <v>0</v>
      </c>
      <c r="T76" s="37">
        <f>COUNTIFS(VEND[Estado/ Ciudad],'INDICADORES (A)'!Q76,VEND[Mes
Cotizacion],'INDICADORES (A)'!$T$28)</f>
        <v>5</v>
      </c>
      <c r="U76" s="37">
        <f>COUNTIFS(VEND[Estado/ Ciudad],'INDICADORES (A)'!Q76,VEND[Mes
Cotizacion],'INDICADORES (A)'!$U$28)</f>
        <v>10</v>
      </c>
      <c r="V76" s="37">
        <f>COUNTIFS(VEND[Estado/ Ciudad],'INDICADORES (A)'!Q76,VEND[Mes
Cotizacion],'INDICADORES (A)'!$V$28)</f>
        <v>0</v>
      </c>
      <c r="W76" s="37">
        <f>COUNTIFS(VEND[Estado/ Ciudad],'INDICADORES (A)'!Q76,VEND[Mes
Cotizacion],'INDICADORES (A)'!$W$28)</f>
        <v>0</v>
      </c>
      <c r="X76" s="37">
        <f>COUNTIFS(VEND[Estado/ Ciudad],'INDICADORES (A)'!Q76,VEND[Mes
Cotizacion],'INDICADORES (A)'!$X$28)</f>
        <v>0</v>
      </c>
      <c r="Y76" s="37">
        <f>COUNTIFS(VEND[Estado/ Ciudad],'INDICADORES (A)'!Q76,VEND[Mes
Cotizacion],'INDICADORES (A)'!$Y$28)</f>
        <v>0</v>
      </c>
      <c r="Z76" s="37">
        <f>COUNTIFS(VEND[Estado/ Ciudad],'INDICADORES (A)'!Q76,VEND[Mes
Cotizacion],'INDICADORES (A)'!$Z$28)</f>
        <v>0</v>
      </c>
      <c r="AA76" s="37">
        <f>COUNTIFS(VEND[Estado/ Ciudad],'INDICADORES (A)'!Q76,VEND[Mes
Cotizacion],'INDICADORES (A)'!$AA$28)</f>
        <v>0</v>
      </c>
      <c r="AB76" s="37">
        <f>COUNTIFS(VEND[Estado/ Ciudad],'INDICADORES (A)'!Q76,VEND[Mes
Cotizacion],'INDICADORES (A)'!$AB$28)</f>
        <v>0</v>
      </c>
      <c r="AC76" s="37">
        <f>COUNTIFS(VEND[Estado/ Ciudad],'INDICADORES (A)'!Q76,VEND[Mes
Cotizacion],'INDICADORES (A)'!$AC$28)</f>
        <v>0</v>
      </c>
    </row>
    <row r="77" spans="1:29" hidden="1" x14ac:dyDescent="0.25">
      <c r="A77" s="209" t="s">
        <v>68</v>
      </c>
      <c r="B77" s="95" t="s">
        <v>105</v>
      </c>
      <c r="C77" s="37">
        <f>COUNTIFS(VEND[Cliente / Empresa],'INDICADORES (A)'!B77,VEND[Mes
Cotizacion],'INDICADORES (A)'!$C$52)</f>
        <v>0</v>
      </c>
      <c r="D77" s="37">
        <f>COUNTIFS(VEND[Cliente / Empresa],'INDICADORES (A)'!B77,VEND[Mes
Cotizacion],'INDICADORES (A)'!$D$52)</f>
        <v>0</v>
      </c>
      <c r="E77" s="37">
        <f>COUNTIFS(VEND[Cliente / Empresa],'INDICADORES (A)'!B77,VEND[Mes
Cotizacion],'INDICADORES (A)'!$E$52)</f>
        <v>0</v>
      </c>
      <c r="F77" s="37">
        <f>COUNTIFS(VEND[Cliente / Empresa],'INDICADORES (A)'!B77,VEND[Mes
Cotizacion],'INDICADORES (A)'!$F$52)</f>
        <v>1</v>
      </c>
      <c r="G77" s="37">
        <f>COUNTIFS(VEND[Cliente / Empresa],'INDICADORES (A)'!B77,VEND[Mes
Cotizacion],'INDICADORES (A)'!$G$52)</f>
        <v>0</v>
      </c>
      <c r="H77" s="37">
        <f>COUNTIFS(VEND[Cliente / Empresa],'INDICADORES (A)'!B77,VEND[Mes
Cotizacion],'INDICADORES (A)'!$H$52)</f>
        <v>0</v>
      </c>
      <c r="I77" s="37">
        <f>COUNTIFS(VEND[Cliente / Empresa],'INDICADORES (A)'!B77,VEND[Mes
Cotizacion],'INDICADORES (A)'!$I$52)</f>
        <v>0</v>
      </c>
      <c r="J77" s="37">
        <f>COUNTIFS(VEND[Cliente / Empresa],'INDICADORES (A)'!B77,VEND[Mes
Cotizacion],'INDICADORES (A)'!$J$52)</f>
        <v>0</v>
      </c>
      <c r="K77" s="37">
        <f>COUNTIFS(VEND[Cliente / Empresa],'INDICADORES (A)'!B77,VEND[Mes
Cotizacion],'INDICADORES (A)'!$K$52)</f>
        <v>0</v>
      </c>
      <c r="L77" s="37">
        <f>COUNTIFS(VEND[Cliente / Empresa],'INDICADORES (A)'!B77,VEND[Mes
Cotizacion],'INDICADORES (A)'!$L$52)</f>
        <v>0</v>
      </c>
      <c r="M77" s="37">
        <f>COUNTIFS(VEND[Cliente / Empresa],'INDICADORES (A)'!B77,VEND[Mes
Cotizacion],'INDICADORES (A)'!$M$52)</f>
        <v>0</v>
      </c>
      <c r="N77" s="110">
        <f>COUNTIFS(VEND[Cliente / Empresa],'INDICADORES (A)'!B77,VEND[Mes
Cotizacion],'INDICADORES (A)'!$N$52)</f>
        <v>0</v>
      </c>
      <c r="O77" s="103">
        <f t="shared" si="4"/>
        <v>1</v>
      </c>
      <c r="Q77" s="37" t="s">
        <v>1411</v>
      </c>
      <c r="R77" s="37">
        <f>COUNTIFS(VEND[Estado/ Ciudad],'INDICADORES (A)'!Q77,VEND[Mes
Cotizacion],'INDICADORES (A)'!$R$28)</f>
        <v>0</v>
      </c>
      <c r="S77" s="37">
        <f>COUNTIFS(VEND[Estado/ Ciudad],'INDICADORES (A)'!Q77,VEND[Mes
Cotizacion],'INDICADORES (A)'!$S$28)</f>
        <v>0</v>
      </c>
      <c r="T77" s="37">
        <f>COUNTIFS(VEND[Estado/ Ciudad],'INDICADORES (A)'!Q77,VEND[Mes
Cotizacion],'INDICADORES (A)'!$T$28)</f>
        <v>1</v>
      </c>
      <c r="U77" s="37">
        <f>COUNTIFS(VEND[Estado/ Ciudad],'INDICADORES (A)'!Q77,VEND[Mes
Cotizacion],'INDICADORES (A)'!$U$28)</f>
        <v>0</v>
      </c>
      <c r="V77" s="37">
        <f>COUNTIFS(VEND[Estado/ Ciudad],'INDICADORES (A)'!Q77,VEND[Mes
Cotizacion],'INDICADORES (A)'!$V$28)</f>
        <v>0</v>
      </c>
      <c r="W77" s="37">
        <f>COUNTIFS(VEND[Estado/ Ciudad],'INDICADORES (A)'!Q77,VEND[Mes
Cotizacion],'INDICADORES (A)'!$W$28)</f>
        <v>1</v>
      </c>
      <c r="X77" s="37">
        <f>COUNTIFS(VEND[Estado/ Ciudad],'INDICADORES (A)'!Q77,VEND[Mes
Cotizacion],'INDICADORES (A)'!$X$28)</f>
        <v>0</v>
      </c>
      <c r="Y77" s="37">
        <f>COUNTIFS(VEND[Estado/ Ciudad],'INDICADORES (A)'!Q77,VEND[Mes
Cotizacion],'INDICADORES (A)'!$Y$28)</f>
        <v>0</v>
      </c>
      <c r="Z77" s="37">
        <f>COUNTIFS(VEND[Estado/ Ciudad],'INDICADORES (A)'!Q77,VEND[Mes
Cotizacion],'INDICADORES (A)'!$Z$28)</f>
        <v>0</v>
      </c>
      <c r="AA77" s="37">
        <f>COUNTIFS(VEND[Estado/ Ciudad],'INDICADORES (A)'!Q77,VEND[Mes
Cotizacion],'INDICADORES (A)'!$AA$28)</f>
        <v>0</v>
      </c>
      <c r="AB77" s="37">
        <f>COUNTIFS(VEND[Estado/ Ciudad],'INDICADORES (A)'!Q77,VEND[Mes
Cotizacion],'INDICADORES (A)'!$AB$28)</f>
        <v>0</v>
      </c>
      <c r="AC77" s="37">
        <f>COUNTIFS(VEND[Estado/ Ciudad],'INDICADORES (A)'!Q77,VEND[Mes
Cotizacion],'INDICADORES (A)'!$AC$28)</f>
        <v>0</v>
      </c>
    </row>
    <row r="78" spans="1:29" x14ac:dyDescent="0.25">
      <c r="A78" s="209" t="s">
        <v>41</v>
      </c>
      <c r="B78" s="95" t="s">
        <v>416</v>
      </c>
      <c r="C78" s="37">
        <f>COUNTIFS(VEND[Cliente / Empresa],'INDICADORES (A)'!B78,VEND[Mes
Cotizacion],'INDICADORES (A)'!$C$52)</f>
        <v>0</v>
      </c>
      <c r="D78" s="37">
        <f>COUNTIFS(VEND[Cliente / Empresa],'INDICADORES (A)'!B78,VEND[Mes
Cotizacion],'INDICADORES (A)'!$D$52)</f>
        <v>0</v>
      </c>
      <c r="E78" s="37">
        <f>COUNTIFS(VEND[Cliente / Empresa],'INDICADORES (A)'!B78,VEND[Mes
Cotizacion],'INDICADORES (A)'!$E$52)</f>
        <v>0</v>
      </c>
      <c r="F78" s="37">
        <f>COUNTIFS(VEND[Cliente / Empresa],'INDICADORES (A)'!B78,VEND[Mes
Cotizacion],'INDICADORES (A)'!$F$52)</f>
        <v>1</v>
      </c>
      <c r="G78" s="37">
        <f>COUNTIFS(VEND[Cliente / Empresa],'INDICADORES (A)'!B78,VEND[Mes
Cotizacion],'INDICADORES (A)'!$G$52)</f>
        <v>2</v>
      </c>
      <c r="H78" s="37">
        <f>COUNTIFS(VEND[Cliente / Empresa],'INDICADORES (A)'!B78,VEND[Mes
Cotizacion],'INDICADORES (A)'!$H$52)</f>
        <v>2</v>
      </c>
      <c r="I78" s="37">
        <f>COUNTIFS(VEND[Cliente / Empresa],'INDICADORES (A)'!B78,VEND[Mes
Cotizacion],'INDICADORES (A)'!$I$52)</f>
        <v>0</v>
      </c>
      <c r="J78" s="37">
        <f>COUNTIFS(VEND[Cliente / Empresa],'INDICADORES (A)'!B78,VEND[Mes
Cotizacion],'INDICADORES (A)'!$J$52)</f>
        <v>0</v>
      </c>
      <c r="K78" s="37">
        <f>COUNTIFS(VEND[Cliente / Empresa],'INDICADORES (A)'!B78,VEND[Mes
Cotizacion],'INDICADORES (A)'!$K$52)</f>
        <v>0</v>
      </c>
      <c r="L78" s="37">
        <f>COUNTIFS(VEND[Cliente / Empresa],'INDICADORES (A)'!B78,VEND[Mes
Cotizacion],'INDICADORES (A)'!$L$52)</f>
        <v>0</v>
      </c>
      <c r="M78" s="37">
        <f>COUNTIFS(VEND[Cliente / Empresa],'INDICADORES (A)'!B78,VEND[Mes
Cotizacion],'INDICADORES (A)'!$M$52)</f>
        <v>0</v>
      </c>
      <c r="N78" s="110">
        <f>COUNTIFS(VEND[Cliente / Empresa],'INDICADORES (A)'!B78,VEND[Mes
Cotizacion],'INDICADORES (A)'!$N$52)</f>
        <v>0</v>
      </c>
      <c r="O78" s="103">
        <f t="shared" si="4"/>
        <v>5</v>
      </c>
      <c r="Q78" s="37" t="s">
        <v>1410</v>
      </c>
      <c r="R78" s="37">
        <f>COUNTIFS(VEND[Estado/ Ciudad],'INDICADORES (A)'!Q78,VEND[Mes
Cotizacion],'INDICADORES (A)'!$R$28)</f>
        <v>0</v>
      </c>
      <c r="S78" s="37">
        <f>COUNTIFS(VEND[Estado/ Ciudad],'INDICADORES (A)'!Q78,VEND[Mes
Cotizacion],'INDICADORES (A)'!$S$28)</f>
        <v>0</v>
      </c>
      <c r="T78" s="37">
        <f>COUNTIFS(VEND[Estado/ Ciudad],'INDICADORES (A)'!Q78,VEND[Mes
Cotizacion],'INDICADORES (A)'!$T$28)</f>
        <v>8</v>
      </c>
      <c r="U78" s="37">
        <f>COUNTIFS(VEND[Estado/ Ciudad],'INDICADORES (A)'!Q78,VEND[Mes
Cotizacion],'INDICADORES (A)'!$U$28)</f>
        <v>6</v>
      </c>
      <c r="V78" s="37">
        <f>COUNTIFS(VEND[Estado/ Ciudad],'INDICADORES (A)'!Q78,VEND[Mes
Cotizacion],'INDICADORES (A)'!$V$28)</f>
        <v>11</v>
      </c>
      <c r="W78" s="37">
        <f>COUNTIFS(VEND[Estado/ Ciudad],'INDICADORES (A)'!Q78,VEND[Mes
Cotizacion],'INDICADORES (A)'!$W$28)</f>
        <v>11</v>
      </c>
      <c r="X78" s="37">
        <f>COUNTIFS(VEND[Estado/ Ciudad],'INDICADORES (A)'!Q78,VEND[Mes
Cotizacion],'INDICADORES (A)'!$X$28)</f>
        <v>0</v>
      </c>
      <c r="Y78" s="37">
        <f>COUNTIFS(VEND[Estado/ Ciudad],'INDICADORES (A)'!Q78,VEND[Mes
Cotizacion],'INDICADORES (A)'!$Y$28)</f>
        <v>0</v>
      </c>
      <c r="Z78" s="37">
        <f>COUNTIFS(VEND[Estado/ Ciudad],'INDICADORES (A)'!Q78,VEND[Mes
Cotizacion],'INDICADORES (A)'!$Z$28)</f>
        <v>0</v>
      </c>
      <c r="AA78" s="37">
        <f>COUNTIFS(VEND[Estado/ Ciudad],'INDICADORES (A)'!Q78,VEND[Mes
Cotizacion],'INDICADORES (A)'!$AA$28)</f>
        <v>0</v>
      </c>
      <c r="AB78" s="37">
        <f>COUNTIFS(VEND[Estado/ Ciudad],'INDICADORES (A)'!Q78,VEND[Mes
Cotizacion],'INDICADORES (A)'!$AB$28)</f>
        <v>0</v>
      </c>
      <c r="AC78" s="37">
        <f>COUNTIFS(VEND[Estado/ Ciudad],'INDICADORES (A)'!Q78,VEND[Mes
Cotizacion],'INDICADORES (A)'!$AC$28)</f>
        <v>0</v>
      </c>
    </row>
    <row r="79" spans="1:29" hidden="1" x14ac:dyDescent="0.25">
      <c r="A79" s="209" t="s">
        <v>50</v>
      </c>
      <c r="B79" s="95" t="s">
        <v>283</v>
      </c>
      <c r="C79" s="37">
        <f>COUNTIFS(VEND[Cliente / Empresa],'INDICADORES (A)'!B79,VEND[Mes
Cotizacion],'INDICADORES (A)'!$C$52)</f>
        <v>0</v>
      </c>
      <c r="D79" s="37">
        <f>COUNTIFS(VEND[Cliente / Empresa],'INDICADORES (A)'!B79,VEND[Mes
Cotizacion],'INDICADORES (A)'!$D$52)</f>
        <v>0</v>
      </c>
      <c r="E79" s="37">
        <f>COUNTIFS(VEND[Cliente / Empresa],'INDICADORES (A)'!B79,VEND[Mes
Cotizacion],'INDICADORES (A)'!$E$52)</f>
        <v>0</v>
      </c>
      <c r="F79" s="37">
        <f>COUNTIFS(VEND[Cliente / Empresa],'INDICADORES (A)'!B79,VEND[Mes
Cotizacion],'INDICADORES (A)'!$F$52)</f>
        <v>0</v>
      </c>
      <c r="G79" s="37">
        <f>COUNTIFS(VEND[Cliente / Empresa],'INDICADORES (A)'!B79,VEND[Mes
Cotizacion],'INDICADORES (A)'!$G$52)</f>
        <v>29</v>
      </c>
      <c r="H79" s="37">
        <f>COUNTIFS(VEND[Cliente / Empresa],'INDICADORES (A)'!B79,VEND[Mes
Cotizacion],'INDICADORES (A)'!$H$52)</f>
        <v>20</v>
      </c>
      <c r="I79" s="37">
        <f>COUNTIFS(VEND[Cliente / Empresa],'INDICADORES (A)'!B79,VEND[Mes
Cotizacion],'INDICADORES (A)'!$I$52)</f>
        <v>0</v>
      </c>
      <c r="J79" s="37">
        <f>COUNTIFS(VEND[Cliente / Empresa],'INDICADORES (A)'!B79,VEND[Mes
Cotizacion],'INDICADORES (A)'!$J$52)</f>
        <v>0</v>
      </c>
      <c r="K79" s="37">
        <f>COUNTIFS(VEND[Cliente / Empresa],'INDICADORES (A)'!B79,VEND[Mes
Cotizacion],'INDICADORES (A)'!$K$52)</f>
        <v>0</v>
      </c>
      <c r="L79" s="37">
        <f>COUNTIFS(VEND[Cliente / Empresa],'INDICADORES (A)'!B79,VEND[Mes
Cotizacion],'INDICADORES (A)'!$L$52)</f>
        <v>0</v>
      </c>
      <c r="M79" s="37">
        <f>COUNTIFS(VEND[Cliente / Empresa],'INDICADORES (A)'!B79,VEND[Mes
Cotizacion],'INDICADORES (A)'!$M$52)</f>
        <v>0</v>
      </c>
      <c r="N79" s="110">
        <f>COUNTIFS(VEND[Cliente / Empresa],'INDICADORES (A)'!B79,VEND[Mes
Cotizacion],'INDICADORES (A)'!$N$52)</f>
        <v>0</v>
      </c>
      <c r="O79" s="103">
        <f t="shared" si="4"/>
        <v>49</v>
      </c>
      <c r="Q79" s="37" t="s">
        <v>1406</v>
      </c>
      <c r="R79" s="37">
        <f>COUNTIFS(VEND[Estado/ Ciudad],'INDICADORES (A)'!Q79,VEND[Mes
Cotizacion],'INDICADORES (A)'!$R$28)</f>
        <v>0</v>
      </c>
      <c r="S79" s="37">
        <f>COUNTIFS(VEND[Estado/ Ciudad],'INDICADORES (A)'!Q79,VEND[Mes
Cotizacion],'INDICADORES (A)'!$S$28)</f>
        <v>1</v>
      </c>
      <c r="T79" s="37">
        <f>COUNTIFS(VEND[Estado/ Ciudad],'INDICADORES (A)'!Q79,VEND[Mes
Cotizacion],'INDICADORES (A)'!$T$28)</f>
        <v>3</v>
      </c>
      <c r="U79" s="37">
        <f>COUNTIFS(VEND[Estado/ Ciudad],'INDICADORES (A)'!Q79,VEND[Mes
Cotizacion],'INDICADORES (A)'!$U$28)</f>
        <v>1</v>
      </c>
      <c r="V79" s="37">
        <f>COUNTIFS(VEND[Estado/ Ciudad],'INDICADORES (A)'!Q79,VEND[Mes
Cotizacion],'INDICADORES (A)'!$V$28)</f>
        <v>2</v>
      </c>
      <c r="W79" s="37">
        <f>COUNTIFS(VEND[Estado/ Ciudad],'INDICADORES (A)'!Q79,VEND[Mes
Cotizacion],'INDICADORES (A)'!$W$28)</f>
        <v>5</v>
      </c>
      <c r="X79" s="37">
        <f>COUNTIFS(VEND[Estado/ Ciudad],'INDICADORES (A)'!Q79,VEND[Mes
Cotizacion],'INDICADORES (A)'!$X$28)</f>
        <v>0</v>
      </c>
      <c r="Y79" s="37">
        <f>COUNTIFS(VEND[Estado/ Ciudad],'INDICADORES (A)'!Q79,VEND[Mes
Cotizacion],'INDICADORES (A)'!$Y$28)</f>
        <v>0</v>
      </c>
      <c r="Z79" s="37">
        <f>COUNTIFS(VEND[Estado/ Ciudad],'INDICADORES (A)'!Q79,VEND[Mes
Cotizacion],'INDICADORES (A)'!$Z$28)</f>
        <v>0</v>
      </c>
      <c r="AA79" s="37">
        <f>COUNTIFS(VEND[Estado/ Ciudad],'INDICADORES (A)'!Q79,VEND[Mes
Cotizacion],'INDICADORES (A)'!$AA$28)</f>
        <v>0</v>
      </c>
      <c r="AB79" s="37">
        <f>COUNTIFS(VEND[Estado/ Ciudad],'INDICADORES (A)'!Q79,VEND[Mes
Cotizacion],'INDICADORES (A)'!$AB$28)</f>
        <v>0</v>
      </c>
      <c r="AC79" s="37">
        <f>COUNTIFS(VEND[Estado/ Ciudad],'INDICADORES (A)'!Q79,VEND[Mes
Cotizacion],'INDICADORES (A)'!$AC$28)</f>
        <v>0</v>
      </c>
    </row>
    <row r="80" spans="1:29" x14ac:dyDescent="0.25">
      <c r="A80" s="209" t="s">
        <v>41</v>
      </c>
      <c r="B80" s="95" t="s">
        <v>1558</v>
      </c>
      <c r="C80" s="37">
        <f>COUNTIFS(VEND[Cliente / Empresa],'INDICADORES (A)'!B80,VEND[Mes
Cotizacion],'INDICADORES (A)'!$C$52)</f>
        <v>0</v>
      </c>
      <c r="D80" s="37">
        <f>COUNTIFS(VEND[Cliente / Empresa],'INDICADORES (A)'!B80,VEND[Mes
Cotizacion],'INDICADORES (A)'!$D$52)</f>
        <v>0</v>
      </c>
      <c r="E80" s="37">
        <f>COUNTIFS(VEND[Cliente / Empresa],'INDICADORES (A)'!B80,VEND[Mes
Cotizacion],'INDICADORES (A)'!$E$52)</f>
        <v>0</v>
      </c>
      <c r="F80" s="37">
        <f>COUNTIFS(VEND[Cliente / Empresa],'INDICADORES (A)'!B80,VEND[Mes
Cotizacion],'INDICADORES (A)'!$F$52)</f>
        <v>0</v>
      </c>
      <c r="G80" s="37">
        <f>COUNTIFS(VEND[Cliente / Empresa],'INDICADORES (A)'!B80,VEND[Mes
Cotizacion],'INDICADORES (A)'!$G$52)</f>
        <v>3</v>
      </c>
      <c r="H80" s="37">
        <f>COUNTIFS(VEND[Cliente / Empresa],'INDICADORES (A)'!B80,VEND[Mes
Cotizacion],'INDICADORES (A)'!$H$52)</f>
        <v>1</v>
      </c>
      <c r="I80" s="37">
        <f>COUNTIFS(VEND[Cliente / Empresa],'INDICADORES (A)'!B80,VEND[Mes
Cotizacion],'INDICADORES (A)'!$I$52)</f>
        <v>0</v>
      </c>
      <c r="J80" s="37">
        <f>COUNTIFS(VEND[Cliente / Empresa],'INDICADORES (A)'!B80,VEND[Mes
Cotizacion],'INDICADORES (A)'!$J$52)</f>
        <v>0</v>
      </c>
      <c r="K80" s="37">
        <f>COUNTIFS(VEND[Cliente / Empresa],'INDICADORES (A)'!B80,VEND[Mes
Cotizacion],'INDICADORES (A)'!$K$52)</f>
        <v>0</v>
      </c>
      <c r="L80" s="37">
        <f>COUNTIFS(VEND[Cliente / Empresa],'INDICADORES (A)'!B80,VEND[Mes
Cotizacion],'INDICADORES (A)'!$L$52)</f>
        <v>0</v>
      </c>
      <c r="M80" s="37">
        <f>COUNTIFS(VEND[Cliente / Empresa],'INDICADORES (A)'!B80,VEND[Mes
Cotizacion],'INDICADORES (A)'!$M$52)</f>
        <v>0</v>
      </c>
      <c r="N80" s="110">
        <f>COUNTIFS(VEND[Cliente / Empresa],'INDICADORES (A)'!B80,VEND[Mes
Cotizacion],'INDICADORES (A)'!$N$52)</f>
        <v>0</v>
      </c>
      <c r="O80" s="103">
        <f t="shared" si="4"/>
        <v>4</v>
      </c>
      <c r="Q80" s="37" t="s">
        <v>1408</v>
      </c>
      <c r="R80" s="37">
        <f>COUNTIFS(VEND[Estado/ Ciudad],'INDICADORES (A)'!Q80,VEND[Mes
Cotizacion],'INDICADORES (A)'!$R$28)</f>
        <v>0</v>
      </c>
      <c r="S80" s="37">
        <f>COUNTIFS(VEND[Estado/ Ciudad],'INDICADORES (A)'!Q80,VEND[Mes
Cotizacion],'INDICADORES (A)'!$S$28)</f>
        <v>0</v>
      </c>
      <c r="T80" s="37">
        <f>COUNTIFS(VEND[Estado/ Ciudad],'INDICADORES (A)'!Q80,VEND[Mes
Cotizacion],'INDICADORES (A)'!$T$28)</f>
        <v>0</v>
      </c>
      <c r="U80" s="37">
        <f>COUNTIFS(VEND[Estado/ Ciudad],'INDICADORES (A)'!Q80,VEND[Mes
Cotizacion],'INDICADORES (A)'!$U$28)</f>
        <v>2</v>
      </c>
      <c r="V80" s="37">
        <f>COUNTIFS(VEND[Estado/ Ciudad],'INDICADORES (A)'!Q80,VEND[Mes
Cotizacion],'INDICADORES (A)'!$V$28)</f>
        <v>1</v>
      </c>
      <c r="W80" s="37">
        <f>COUNTIFS(VEND[Estado/ Ciudad],'INDICADORES (A)'!Q80,VEND[Mes
Cotizacion],'INDICADORES (A)'!$W$28)</f>
        <v>0</v>
      </c>
      <c r="X80" s="37">
        <f>COUNTIFS(VEND[Estado/ Ciudad],'INDICADORES (A)'!Q80,VEND[Mes
Cotizacion],'INDICADORES (A)'!$X$28)</f>
        <v>0</v>
      </c>
      <c r="Y80" s="37">
        <f>COUNTIFS(VEND[Estado/ Ciudad],'INDICADORES (A)'!Q80,VEND[Mes
Cotizacion],'INDICADORES (A)'!$Y$28)</f>
        <v>0</v>
      </c>
      <c r="Z80" s="37">
        <f>COUNTIFS(VEND[Estado/ Ciudad],'INDICADORES (A)'!Q80,VEND[Mes
Cotizacion],'INDICADORES (A)'!$Z$28)</f>
        <v>0</v>
      </c>
      <c r="AA80" s="37">
        <f>COUNTIFS(VEND[Estado/ Ciudad],'INDICADORES (A)'!Q80,VEND[Mes
Cotizacion],'INDICADORES (A)'!$AA$28)</f>
        <v>0</v>
      </c>
      <c r="AB80" s="37">
        <f>COUNTIFS(VEND[Estado/ Ciudad],'INDICADORES (A)'!Q80,VEND[Mes
Cotizacion],'INDICADORES (A)'!$AB$28)</f>
        <v>0</v>
      </c>
      <c r="AC80" s="37">
        <f>COUNTIFS(VEND[Estado/ Ciudad],'INDICADORES (A)'!Q80,VEND[Mes
Cotizacion],'INDICADORES (A)'!$AC$28)</f>
        <v>0</v>
      </c>
    </row>
    <row r="81" spans="1:29" x14ac:dyDescent="0.25">
      <c r="A81" s="209" t="s">
        <v>41</v>
      </c>
      <c r="B81" s="95" t="s">
        <v>1462</v>
      </c>
      <c r="C81" s="37">
        <f>COUNTIFS(VEND[Cliente / Empresa],'INDICADORES (A)'!B81,VEND[Mes
Cotizacion],'INDICADORES (A)'!$C$52)</f>
        <v>0</v>
      </c>
      <c r="D81" s="37">
        <f>COUNTIFS(VEND[Cliente / Empresa],'INDICADORES (A)'!B81,VEND[Mes
Cotizacion],'INDICADORES (A)'!$D$52)</f>
        <v>0</v>
      </c>
      <c r="E81" s="37">
        <f>COUNTIFS(VEND[Cliente / Empresa],'INDICADORES (A)'!B81,VEND[Mes
Cotizacion],'INDICADORES (A)'!$E$52)</f>
        <v>0</v>
      </c>
      <c r="F81" s="37">
        <f>COUNTIFS(VEND[Cliente / Empresa],'INDICADORES (A)'!B81,VEND[Mes
Cotizacion],'INDICADORES (A)'!$F$52)</f>
        <v>1</v>
      </c>
      <c r="G81" s="37">
        <f>COUNTIFS(VEND[Cliente / Empresa],'INDICADORES (A)'!B81,VEND[Mes
Cotizacion],'INDICADORES (A)'!$G$52)</f>
        <v>0</v>
      </c>
      <c r="H81" s="37">
        <f>COUNTIFS(VEND[Cliente / Empresa],'INDICADORES (A)'!B81,VEND[Mes
Cotizacion],'INDICADORES (A)'!$H$52)</f>
        <v>0</v>
      </c>
      <c r="I81" s="37">
        <f>COUNTIFS(VEND[Cliente / Empresa],'INDICADORES (A)'!B81,VEND[Mes
Cotizacion],'INDICADORES (A)'!$I$52)</f>
        <v>0</v>
      </c>
      <c r="J81" s="37">
        <f>COUNTIFS(VEND[Cliente / Empresa],'INDICADORES (A)'!B81,VEND[Mes
Cotizacion],'INDICADORES (A)'!$J$52)</f>
        <v>0</v>
      </c>
      <c r="K81" s="37">
        <f>COUNTIFS(VEND[Cliente / Empresa],'INDICADORES (A)'!B81,VEND[Mes
Cotizacion],'INDICADORES (A)'!$K$52)</f>
        <v>0</v>
      </c>
      <c r="L81" s="37">
        <f>COUNTIFS(VEND[Cliente / Empresa],'INDICADORES (A)'!B81,VEND[Mes
Cotizacion],'INDICADORES (A)'!$L$52)</f>
        <v>0</v>
      </c>
      <c r="M81" s="37">
        <f>COUNTIFS(VEND[Cliente / Empresa],'INDICADORES (A)'!B81,VEND[Mes
Cotizacion],'INDICADORES (A)'!$M$52)</f>
        <v>0</v>
      </c>
      <c r="N81" s="110">
        <f>COUNTIFS(VEND[Cliente / Empresa],'INDICADORES (A)'!B81,VEND[Mes
Cotizacion],'INDICADORES (A)'!$N$52)</f>
        <v>0</v>
      </c>
      <c r="O81" s="103">
        <f t="shared" si="4"/>
        <v>1</v>
      </c>
      <c r="Q81" s="37" t="s">
        <v>1404</v>
      </c>
      <c r="R81" s="37">
        <f>COUNTIFS(VEND[Estado/ Ciudad],'INDICADORES (A)'!Q81,VEND[Mes
Cotizacion],'INDICADORES (A)'!$R$28)</f>
        <v>0</v>
      </c>
      <c r="S81" s="37">
        <f>COUNTIFS(VEND[Estado/ Ciudad],'INDICADORES (A)'!Q81,VEND[Mes
Cotizacion],'INDICADORES (A)'!$S$28)</f>
        <v>0</v>
      </c>
      <c r="T81" s="37">
        <f>COUNTIFS(VEND[Estado/ Ciudad],'INDICADORES (A)'!Q81,VEND[Mes
Cotizacion],'INDICADORES (A)'!$T$28)</f>
        <v>0</v>
      </c>
      <c r="U81" s="37">
        <f>COUNTIFS(VEND[Estado/ Ciudad],'INDICADORES (A)'!Q81,VEND[Mes
Cotizacion],'INDICADORES (A)'!$U$28)</f>
        <v>0</v>
      </c>
      <c r="V81" s="37">
        <f>COUNTIFS(VEND[Estado/ Ciudad],'INDICADORES (A)'!Q81,VEND[Mes
Cotizacion],'INDICADORES (A)'!$V$28)</f>
        <v>6</v>
      </c>
      <c r="W81" s="37">
        <f>COUNTIFS(VEND[Estado/ Ciudad],'INDICADORES (A)'!Q81,VEND[Mes
Cotizacion],'INDICADORES (A)'!$W$28)</f>
        <v>8</v>
      </c>
      <c r="X81" s="37">
        <f>COUNTIFS(VEND[Estado/ Ciudad],'INDICADORES (A)'!Q81,VEND[Mes
Cotizacion],'INDICADORES (A)'!$X$28)</f>
        <v>0</v>
      </c>
      <c r="Y81" s="37">
        <f>COUNTIFS(VEND[Estado/ Ciudad],'INDICADORES (A)'!Q81,VEND[Mes
Cotizacion],'INDICADORES (A)'!$Y$28)</f>
        <v>0</v>
      </c>
      <c r="Z81" s="37">
        <f>COUNTIFS(VEND[Estado/ Ciudad],'INDICADORES (A)'!Q81,VEND[Mes
Cotizacion],'INDICADORES (A)'!$Z$28)</f>
        <v>0</v>
      </c>
      <c r="AA81" s="37">
        <f>COUNTIFS(VEND[Estado/ Ciudad],'INDICADORES (A)'!Q81,VEND[Mes
Cotizacion],'INDICADORES (A)'!$AA$28)</f>
        <v>0</v>
      </c>
      <c r="AB81" s="37">
        <f>COUNTIFS(VEND[Estado/ Ciudad],'INDICADORES (A)'!Q81,VEND[Mes
Cotizacion],'INDICADORES (A)'!$AB$28)</f>
        <v>0</v>
      </c>
      <c r="AC81" s="37">
        <f>COUNTIFS(VEND[Estado/ Ciudad],'INDICADORES (A)'!Q81,VEND[Mes
Cotizacion],'INDICADORES (A)'!$AC$28)</f>
        <v>0</v>
      </c>
    </row>
    <row r="82" spans="1:29" hidden="1" x14ac:dyDescent="0.25">
      <c r="A82" s="209" t="s">
        <v>155</v>
      </c>
      <c r="B82" s="95" t="s">
        <v>1417</v>
      </c>
      <c r="C82" s="37">
        <f>COUNTIFS(VEND[Cliente / Empresa],'INDICADORES (A)'!B82,VEND[Mes
Cotizacion],'INDICADORES (A)'!$C$52)</f>
        <v>0</v>
      </c>
      <c r="D82" s="37">
        <f>COUNTIFS(VEND[Cliente / Empresa],'INDICADORES (A)'!B82,VEND[Mes
Cotizacion],'INDICADORES (A)'!$D$52)</f>
        <v>0</v>
      </c>
      <c r="E82" s="37">
        <f>COUNTIFS(VEND[Cliente / Empresa],'INDICADORES (A)'!B82,VEND[Mes
Cotizacion],'INDICADORES (A)'!$E$52)</f>
        <v>0</v>
      </c>
      <c r="F82" s="37">
        <f>COUNTIFS(VEND[Cliente / Empresa],'INDICADORES (A)'!B82,VEND[Mes
Cotizacion],'INDICADORES (A)'!$F$52)</f>
        <v>0</v>
      </c>
      <c r="G82" s="37">
        <f>COUNTIFS(VEND[Cliente / Empresa],'INDICADORES (A)'!B82,VEND[Mes
Cotizacion],'INDICADORES (A)'!$G$52)</f>
        <v>2</v>
      </c>
      <c r="H82" s="37">
        <f>COUNTIFS(VEND[Cliente / Empresa],'INDICADORES (A)'!B82,VEND[Mes
Cotizacion],'INDICADORES (A)'!$H$52)</f>
        <v>2</v>
      </c>
      <c r="I82" s="37">
        <f>COUNTIFS(VEND[Cliente / Empresa],'INDICADORES (A)'!B82,VEND[Mes
Cotizacion],'INDICADORES (A)'!$I$52)</f>
        <v>0</v>
      </c>
      <c r="J82" s="37">
        <f>COUNTIFS(VEND[Cliente / Empresa],'INDICADORES (A)'!B82,VEND[Mes
Cotizacion],'INDICADORES (A)'!$J$52)</f>
        <v>0</v>
      </c>
      <c r="K82" s="37">
        <f>COUNTIFS(VEND[Cliente / Empresa],'INDICADORES (A)'!B82,VEND[Mes
Cotizacion],'INDICADORES (A)'!$K$52)</f>
        <v>0</v>
      </c>
      <c r="L82" s="37">
        <f>COUNTIFS(VEND[Cliente / Empresa],'INDICADORES (A)'!B82,VEND[Mes
Cotizacion],'INDICADORES (A)'!$L$52)</f>
        <v>0</v>
      </c>
      <c r="M82" s="37">
        <f>COUNTIFS(VEND[Cliente / Empresa],'INDICADORES (A)'!B82,VEND[Mes
Cotizacion],'INDICADORES (A)'!$M$52)</f>
        <v>0</v>
      </c>
      <c r="N82" s="110">
        <f>COUNTIFS(VEND[Cliente / Empresa],'INDICADORES (A)'!B82,VEND[Mes
Cotizacion],'INDICADORES (A)'!$N$52)</f>
        <v>0</v>
      </c>
      <c r="O82" s="103">
        <f t="shared" si="4"/>
        <v>4</v>
      </c>
      <c r="Q82" s="37" t="s">
        <v>1505</v>
      </c>
      <c r="R82" s="37">
        <f>COUNTIFS(VEND[Estado/ Ciudad],'INDICADORES (A)'!Q82,VEND[Mes
Cotizacion],'INDICADORES (A)'!$R$28)</f>
        <v>0</v>
      </c>
      <c r="S82" s="37">
        <f>COUNTIFS(VEND[Estado/ Ciudad],'INDICADORES (A)'!Q82,VEND[Mes
Cotizacion],'INDICADORES (A)'!$S$28)</f>
        <v>0</v>
      </c>
      <c r="T82" s="37">
        <f>COUNTIFS(VEND[Estado/ Ciudad],'INDICADORES (A)'!Q82,VEND[Mes
Cotizacion],'INDICADORES (A)'!$T$28)</f>
        <v>0</v>
      </c>
      <c r="U82" s="37">
        <f>COUNTIFS(VEND[Estado/ Ciudad],'INDICADORES (A)'!Q82,VEND[Mes
Cotizacion],'INDICADORES (A)'!$U$28)</f>
        <v>0</v>
      </c>
      <c r="V82" s="37">
        <f>COUNTIFS(VEND[Estado/ Ciudad],'INDICADORES (A)'!Q82,VEND[Mes
Cotizacion],'INDICADORES (A)'!$V$28)</f>
        <v>10</v>
      </c>
      <c r="W82" s="37">
        <f>COUNTIFS(VEND[Estado/ Ciudad],'INDICADORES (A)'!Q82,VEND[Mes
Cotizacion],'INDICADORES (A)'!$W$28)</f>
        <v>4</v>
      </c>
      <c r="X82" s="37">
        <f>COUNTIFS(VEND[Estado/ Ciudad],'INDICADORES (A)'!Q82,VEND[Mes
Cotizacion],'INDICADORES (A)'!$X$28)</f>
        <v>0</v>
      </c>
      <c r="Y82" s="37">
        <f>COUNTIFS(VEND[Estado/ Ciudad],'INDICADORES (A)'!Q82,VEND[Mes
Cotizacion],'INDICADORES (A)'!$Y$28)</f>
        <v>0</v>
      </c>
      <c r="Z82" s="37">
        <f>COUNTIFS(VEND[Estado/ Ciudad],'INDICADORES (A)'!Q82,VEND[Mes
Cotizacion],'INDICADORES (A)'!$Z$28)</f>
        <v>0</v>
      </c>
      <c r="AA82" s="37">
        <f>COUNTIFS(VEND[Estado/ Ciudad],'INDICADORES (A)'!Q82,VEND[Mes
Cotizacion],'INDICADORES (A)'!$AA$28)</f>
        <v>0</v>
      </c>
      <c r="AB82" s="37">
        <f>COUNTIFS(VEND[Estado/ Ciudad],'INDICADORES (A)'!Q82,VEND[Mes
Cotizacion],'INDICADORES (A)'!$AB$28)</f>
        <v>0</v>
      </c>
      <c r="AC82" s="37">
        <f>COUNTIFS(VEND[Estado/ Ciudad],'INDICADORES (A)'!Q82,VEND[Mes
Cotizacion],'INDICADORES (A)'!$AC$28)</f>
        <v>0</v>
      </c>
    </row>
    <row r="83" spans="1:29" hidden="1" x14ac:dyDescent="0.25">
      <c r="B83" s="95" t="s">
        <v>53</v>
      </c>
      <c r="C83" s="37">
        <f>COUNTIFS(VEND[Cliente / Empresa],'INDICADORES (A)'!B83,VEND[Mes
Cotizacion],'INDICADORES (A)'!$C$52)</f>
        <v>0</v>
      </c>
      <c r="D83" s="37">
        <f>COUNTIFS(VEND[Cliente / Empresa],'INDICADORES (A)'!B83,VEND[Mes
Cotizacion],'INDICADORES (A)'!$D$52)</f>
        <v>0</v>
      </c>
      <c r="E83" s="37">
        <f>COUNTIFS(VEND[Cliente / Empresa],'INDICADORES (A)'!B83,VEND[Mes
Cotizacion],'INDICADORES (A)'!$E$52)</f>
        <v>1</v>
      </c>
      <c r="F83" s="37">
        <f>COUNTIFS(VEND[Cliente / Empresa],'INDICADORES (A)'!B83,VEND[Mes
Cotizacion],'INDICADORES (A)'!$F$52)</f>
        <v>0</v>
      </c>
      <c r="G83" s="37">
        <f>COUNTIFS(VEND[Cliente / Empresa],'INDICADORES (A)'!B83,VEND[Mes
Cotizacion],'INDICADORES (A)'!$G$52)</f>
        <v>0</v>
      </c>
      <c r="H83" s="37">
        <f>COUNTIFS(VEND[Cliente / Empresa],'INDICADORES (A)'!B83,VEND[Mes
Cotizacion],'INDICADORES (A)'!$H$52)</f>
        <v>0</v>
      </c>
      <c r="I83" s="37">
        <f>COUNTIFS(VEND[Cliente / Empresa],'INDICADORES (A)'!B83,VEND[Mes
Cotizacion],'INDICADORES (A)'!$I$52)</f>
        <v>0</v>
      </c>
      <c r="J83" s="37">
        <f>COUNTIFS(VEND[Cliente / Empresa],'INDICADORES (A)'!B83,VEND[Mes
Cotizacion],'INDICADORES (A)'!$J$52)</f>
        <v>0</v>
      </c>
      <c r="K83" s="37">
        <f>COUNTIFS(VEND[Cliente / Empresa],'INDICADORES (A)'!B83,VEND[Mes
Cotizacion],'INDICADORES (A)'!$K$52)</f>
        <v>0</v>
      </c>
      <c r="L83" s="37">
        <f>COUNTIFS(VEND[Cliente / Empresa],'INDICADORES (A)'!B83,VEND[Mes
Cotizacion],'INDICADORES (A)'!$L$52)</f>
        <v>0</v>
      </c>
      <c r="M83" s="37">
        <f>COUNTIFS(VEND[Cliente / Empresa],'INDICADORES (A)'!B83,VEND[Mes
Cotizacion],'INDICADORES (A)'!$M$52)</f>
        <v>0</v>
      </c>
      <c r="N83" s="110">
        <f>COUNTIFS(VEND[Cliente / Empresa],'INDICADORES (A)'!B83,VEND[Mes
Cotizacion],'INDICADORES (A)'!$N$52)</f>
        <v>0</v>
      </c>
      <c r="O83" s="103">
        <f t="shared" si="4"/>
        <v>1</v>
      </c>
      <c r="Q83" s="37" t="s">
        <v>1659</v>
      </c>
      <c r="R83" s="37">
        <f>COUNTIFS(VEND[Estado/ Ciudad],'INDICADORES (A)'!Q83,VEND[Mes
Cotizacion],'INDICADORES (A)'!$R$28)</f>
        <v>0</v>
      </c>
      <c r="S83" s="37">
        <f>COUNTIFS(VEND[Estado/ Ciudad],'INDICADORES (A)'!Q83,VEND[Mes
Cotizacion],'INDICADORES (A)'!$S$28)</f>
        <v>0</v>
      </c>
      <c r="T83" s="37">
        <f>COUNTIFS(VEND[Estado/ Ciudad],'INDICADORES (A)'!Q83,VEND[Mes
Cotizacion],'INDICADORES (A)'!$T$28)</f>
        <v>0</v>
      </c>
      <c r="U83" s="37">
        <f>COUNTIFS(VEND[Estado/ Ciudad],'INDICADORES (A)'!Q83,VEND[Mes
Cotizacion],'INDICADORES (A)'!$U$28)</f>
        <v>0</v>
      </c>
      <c r="V83" s="37">
        <f>COUNTIFS(VEND[Estado/ Ciudad],'INDICADORES (A)'!Q83,VEND[Mes
Cotizacion],'INDICADORES (A)'!$V$28)</f>
        <v>0</v>
      </c>
      <c r="W83" s="37">
        <f>COUNTIFS(VEND[Estado/ Ciudad],'INDICADORES (A)'!Q83,VEND[Mes
Cotizacion],'INDICADORES (A)'!$W$28)</f>
        <v>0</v>
      </c>
      <c r="X83" s="37">
        <f>COUNTIFS(VEND[Estado/ Ciudad],'INDICADORES (A)'!Q83,VEND[Mes
Cotizacion],'INDICADORES (A)'!$X$28)</f>
        <v>0</v>
      </c>
      <c r="Y83" s="37">
        <f>COUNTIFS(VEND[Estado/ Ciudad],'INDICADORES (A)'!Q83,VEND[Mes
Cotizacion],'INDICADORES (A)'!$Y$28)</f>
        <v>0</v>
      </c>
      <c r="Z83" s="37">
        <f>COUNTIFS(VEND[Estado/ Ciudad],'INDICADORES (A)'!Q83,VEND[Mes
Cotizacion],'INDICADORES (A)'!$Z$28)</f>
        <v>0</v>
      </c>
      <c r="AA83" s="37">
        <f>COUNTIFS(VEND[Estado/ Ciudad],'INDICADORES (A)'!Q83,VEND[Mes
Cotizacion],'INDICADORES (A)'!$AA$28)</f>
        <v>0</v>
      </c>
      <c r="AB83" s="37">
        <f>COUNTIFS(VEND[Estado/ Ciudad],'INDICADORES (A)'!Q83,VEND[Mes
Cotizacion],'INDICADORES (A)'!$AB$28)</f>
        <v>0</v>
      </c>
      <c r="AC83" s="37">
        <f>COUNTIFS(VEND[Estado/ Ciudad],'INDICADORES (A)'!Q83,VEND[Mes
Cotizacion],'INDICADORES (A)'!$AC$28)</f>
        <v>0</v>
      </c>
    </row>
    <row r="84" spans="1:29" ht="15.75" thickBot="1" x14ac:dyDescent="0.3">
      <c r="A84" s="209" t="s">
        <v>41</v>
      </c>
      <c r="B84" s="95" t="s">
        <v>298</v>
      </c>
      <c r="C84" s="37">
        <f>COUNTIFS(VEND[Cliente / Empresa],'INDICADORES (A)'!B84,VEND[Mes
Cotizacion],'INDICADORES (A)'!$C$52)</f>
        <v>0</v>
      </c>
      <c r="D84" s="37">
        <f>COUNTIFS(VEND[Cliente / Empresa],'INDICADORES (A)'!B84,VEND[Mes
Cotizacion],'INDICADORES (A)'!$D$52)</f>
        <v>0</v>
      </c>
      <c r="E84" s="37">
        <f>COUNTIFS(VEND[Cliente / Empresa],'INDICADORES (A)'!B84,VEND[Mes
Cotizacion],'INDICADORES (A)'!$E$52)</f>
        <v>0</v>
      </c>
      <c r="F84" s="37">
        <f>COUNTIFS(VEND[Cliente / Empresa],'INDICADORES (A)'!B84,VEND[Mes
Cotizacion],'INDICADORES (A)'!$F$52)</f>
        <v>3</v>
      </c>
      <c r="G84" s="37">
        <f>COUNTIFS(VEND[Cliente / Empresa],'INDICADORES (A)'!B84,VEND[Mes
Cotizacion],'INDICADORES (A)'!$G$52)</f>
        <v>4</v>
      </c>
      <c r="H84" s="37">
        <f>COUNTIFS(VEND[Cliente / Empresa],'INDICADORES (A)'!B84,VEND[Mes
Cotizacion],'INDICADORES (A)'!$H$52)</f>
        <v>0</v>
      </c>
      <c r="I84" s="37">
        <f>COUNTIFS(VEND[Cliente / Empresa],'INDICADORES (A)'!B84,VEND[Mes
Cotizacion],'INDICADORES (A)'!$I$52)</f>
        <v>0</v>
      </c>
      <c r="J84" s="37">
        <f>COUNTIFS(VEND[Cliente / Empresa],'INDICADORES (A)'!B84,VEND[Mes
Cotizacion],'INDICADORES (A)'!$J$52)</f>
        <v>0</v>
      </c>
      <c r="K84" s="37">
        <f>COUNTIFS(VEND[Cliente / Empresa],'INDICADORES (A)'!B84,VEND[Mes
Cotizacion],'INDICADORES (A)'!$K$52)</f>
        <v>0</v>
      </c>
      <c r="L84" s="37">
        <f>COUNTIFS(VEND[Cliente / Empresa],'INDICADORES (A)'!B84,VEND[Mes
Cotizacion],'INDICADORES (A)'!$L$52)</f>
        <v>0</v>
      </c>
      <c r="M84" s="37">
        <f>COUNTIFS(VEND[Cliente / Empresa],'INDICADORES (A)'!B84,VEND[Mes
Cotizacion],'INDICADORES (A)'!$M$52)</f>
        <v>0</v>
      </c>
      <c r="N84" s="110">
        <f>COUNTIFS(VEND[Cliente / Empresa],'INDICADORES (A)'!B84,VEND[Mes
Cotizacion],'INDICADORES (A)'!$N$52)</f>
        <v>0</v>
      </c>
      <c r="O84" s="103">
        <f t="shared" si="4"/>
        <v>7</v>
      </c>
      <c r="Q84" s="206" t="s">
        <v>1799</v>
      </c>
      <c r="R84" s="206">
        <f>SUM(R71:R83)</f>
        <v>12</v>
      </c>
      <c r="S84" s="206">
        <f t="shared" ref="S84:AC84" si="6">SUM(S71:S83)</f>
        <v>41</v>
      </c>
      <c r="T84" s="206">
        <f t="shared" si="6"/>
        <v>128</v>
      </c>
      <c r="U84" s="206">
        <f t="shared" si="6"/>
        <v>162</v>
      </c>
      <c r="V84" s="206">
        <f t="shared" si="6"/>
        <v>219</v>
      </c>
      <c r="W84" s="206">
        <f t="shared" si="6"/>
        <v>168</v>
      </c>
      <c r="X84" s="206">
        <f t="shared" si="6"/>
        <v>0</v>
      </c>
      <c r="Y84" s="206">
        <f t="shared" si="6"/>
        <v>0</v>
      </c>
      <c r="Z84" s="206">
        <f t="shared" si="6"/>
        <v>0</v>
      </c>
      <c r="AA84" s="206">
        <f t="shared" si="6"/>
        <v>0</v>
      </c>
      <c r="AB84" s="206">
        <f t="shared" si="6"/>
        <v>0</v>
      </c>
      <c r="AC84" s="206">
        <f t="shared" si="6"/>
        <v>0</v>
      </c>
    </row>
    <row r="85" spans="1:29" x14ac:dyDescent="0.25">
      <c r="A85" s="209" t="s">
        <v>41</v>
      </c>
      <c r="B85" s="95" t="s">
        <v>103</v>
      </c>
      <c r="C85" s="37">
        <f>COUNTIFS(VEND[Cliente / Empresa],'INDICADORES (A)'!B85,VEND[Mes
Cotizacion],'INDICADORES (A)'!$C$52)</f>
        <v>0</v>
      </c>
      <c r="D85" s="37">
        <f>COUNTIFS(VEND[Cliente / Empresa],'INDICADORES (A)'!B85,VEND[Mes
Cotizacion],'INDICADORES (A)'!$D$52)</f>
        <v>0</v>
      </c>
      <c r="E85" s="37">
        <f>COUNTIFS(VEND[Cliente / Empresa],'INDICADORES (A)'!B85,VEND[Mes
Cotizacion],'INDICADORES (A)'!$E$52)</f>
        <v>2</v>
      </c>
      <c r="F85" s="37">
        <f>COUNTIFS(VEND[Cliente / Empresa],'INDICADORES (A)'!B85,VEND[Mes
Cotizacion],'INDICADORES (A)'!$F$52)</f>
        <v>1</v>
      </c>
      <c r="G85" s="37">
        <f>COUNTIFS(VEND[Cliente / Empresa],'INDICADORES (A)'!B85,VEND[Mes
Cotizacion],'INDICADORES (A)'!$G$52)</f>
        <v>0</v>
      </c>
      <c r="H85" s="37">
        <f>COUNTIFS(VEND[Cliente / Empresa],'INDICADORES (A)'!B85,VEND[Mes
Cotizacion],'INDICADORES (A)'!$H$52)</f>
        <v>0</v>
      </c>
      <c r="I85" s="37">
        <f>COUNTIFS(VEND[Cliente / Empresa],'INDICADORES (A)'!B85,VEND[Mes
Cotizacion],'INDICADORES (A)'!$I$52)</f>
        <v>0</v>
      </c>
      <c r="J85" s="37">
        <f>COUNTIFS(VEND[Cliente / Empresa],'INDICADORES (A)'!B85,VEND[Mes
Cotizacion],'INDICADORES (A)'!$J$52)</f>
        <v>0</v>
      </c>
      <c r="K85" s="37">
        <f>COUNTIFS(VEND[Cliente / Empresa],'INDICADORES (A)'!B85,VEND[Mes
Cotizacion],'INDICADORES (A)'!$K$52)</f>
        <v>0</v>
      </c>
      <c r="L85" s="37">
        <f>COUNTIFS(VEND[Cliente / Empresa],'INDICADORES (A)'!B85,VEND[Mes
Cotizacion],'INDICADORES (A)'!$L$52)</f>
        <v>0</v>
      </c>
      <c r="M85" s="37">
        <f>COUNTIFS(VEND[Cliente / Empresa],'INDICADORES (A)'!B85,VEND[Mes
Cotizacion],'INDICADORES (A)'!$M$52)</f>
        <v>0</v>
      </c>
      <c r="N85" s="110">
        <f>COUNTIFS(VEND[Cliente / Empresa],'INDICADORES (A)'!B85,VEND[Mes
Cotizacion],'INDICADORES (A)'!$N$52)</f>
        <v>0</v>
      </c>
      <c r="O85" s="103">
        <f t="shared" si="4"/>
        <v>3</v>
      </c>
    </row>
    <row r="86" spans="1:29" hidden="1" x14ac:dyDescent="0.25">
      <c r="B86" s="95" t="s">
        <v>85</v>
      </c>
      <c r="C86" s="37">
        <f>COUNTIFS(VEND[Cliente / Empresa],'INDICADORES (A)'!B86,VEND[Mes
Cotizacion],'INDICADORES (A)'!$C$52)</f>
        <v>0</v>
      </c>
      <c r="D86" s="37">
        <f>COUNTIFS(VEND[Cliente / Empresa],'INDICADORES (A)'!B86,VEND[Mes
Cotizacion],'INDICADORES (A)'!$D$52)</f>
        <v>0</v>
      </c>
      <c r="E86" s="37">
        <f>COUNTIFS(VEND[Cliente / Empresa],'INDICADORES (A)'!B86,VEND[Mes
Cotizacion],'INDICADORES (A)'!$E$52)</f>
        <v>1</v>
      </c>
      <c r="F86" s="37">
        <f>COUNTIFS(VEND[Cliente / Empresa],'INDICADORES (A)'!B86,VEND[Mes
Cotizacion],'INDICADORES (A)'!$F$52)</f>
        <v>0</v>
      </c>
      <c r="G86" s="37">
        <f>COUNTIFS(VEND[Cliente / Empresa],'INDICADORES (A)'!B86,VEND[Mes
Cotizacion],'INDICADORES (A)'!$G$52)</f>
        <v>0</v>
      </c>
      <c r="H86" s="37">
        <f>COUNTIFS(VEND[Cliente / Empresa],'INDICADORES (A)'!B86,VEND[Mes
Cotizacion],'INDICADORES (A)'!$H$52)</f>
        <v>0</v>
      </c>
      <c r="I86" s="37">
        <f>COUNTIFS(VEND[Cliente / Empresa],'INDICADORES (A)'!B86,VEND[Mes
Cotizacion],'INDICADORES (A)'!$I$52)</f>
        <v>0</v>
      </c>
      <c r="J86" s="37">
        <f>COUNTIFS(VEND[Cliente / Empresa],'INDICADORES (A)'!B86,VEND[Mes
Cotizacion],'INDICADORES (A)'!$J$52)</f>
        <v>0</v>
      </c>
      <c r="K86" s="37">
        <f>COUNTIFS(VEND[Cliente / Empresa],'INDICADORES (A)'!B86,VEND[Mes
Cotizacion],'INDICADORES (A)'!$K$52)</f>
        <v>0</v>
      </c>
      <c r="L86" s="37">
        <f>COUNTIFS(VEND[Cliente / Empresa],'INDICADORES (A)'!B86,VEND[Mes
Cotizacion],'INDICADORES (A)'!$L$52)</f>
        <v>0</v>
      </c>
      <c r="M86" s="37">
        <f>COUNTIFS(VEND[Cliente / Empresa],'INDICADORES (A)'!B86,VEND[Mes
Cotizacion],'INDICADORES (A)'!$M$52)</f>
        <v>0</v>
      </c>
      <c r="N86" s="110">
        <f>COUNTIFS(VEND[Cliente / Empresa],'INDICADORES (A)'!B86,VEND[Mes
Cotizacion],'INDICADORES (A)'!$N$52)</f>
        <v>0</v>
      </c>
      <c r="O86" s="103">
        <f t="shared" si="4"/>
        <v>1</v>
      </c>
    </row>
    <row r="87" spans="1:29" x14ac:dyDescent="0.25">
      <c r="A87" s="209" t="s">
        <v>41</v>
      </c>
      <c r="B87" s="95" t="s">
        <v>306</v>
      </c>
      <c r="C87" s="37">
        <f>COUNTIFS(VEND[Cliente / Empresa],'INDICADORES (A)'!B87,VEND[Mes
Cotizacion],'INDICADORES (A)'!$C$52)</f>
        <v>0</v>
      </c>
      <c r="D87" s="37">
        <f>COUNTIFS(VEND[Cliente / Empresa],'INDICADORES (A)'!B87,VEND[Mes
Cotizacion],'INDICADORES (A)'!$D$52)</f>
        <v>0</v>
      </c>
      <c r="E87" s="37">
        <f>COUNTIFS(VEND[Cliente / Empresa],'INDICADORES (A)'!B87,VEND[Mes
Cotizacion],'INDICADORES (A)'!$E$52)</f>
        <v>0</v>
      </c>
      <c r="F87" s="37">
        <f>COUNTIFS(VEND[Cliente / Empresa],'INDICADORES (A)'!B87,VEND[Mes
Cotizacion],'INDICADORES (A)'!$F$52)</f>
        <v>0</v>
      </c>
      <c r="G87" s="37">
        <f>COUNTIFS(VEND[Cliente / Empresa],'INDICADORES (A)'!B87,VEND[Mes
Cotizacion],'INDICADORES (A)'!$G$52)</f>
        <v>1</v>
      </c>
      <c r="H87" s="37">
        <f>COUNTIFS(VEND[Cliente / Empresa],'INDICADORES (A)'!B87,VEND[Mes
Cotizacion],'INDICADORES (A)'!$H$52)</f>
        <v>0</v>
      </c>
      <c r="I87" s="37">
        <f>COUNTIFS(VEND[Cliente / Empresa],'INDICADORES (A)'!B87,VEND[Mes
Cotizacion],'INDICADORES (A)'!$I$52)</f>
        <v>0</v>
      </c>
      <c r="J87" s="37">
        <f>COUNTIFS(VEND[Cliente / Empresa],'INDICADORES (A)'!B87,VEND[Mes
Cotizacion],'INDICADORES (A)'!$J$52)</f>
        <v>0</v>
      </c>
      <c r="K87" s="37">
        <f>COUNTIFS(VEND[Cliente / Empresa],'INDICADORES (A)'!B87,VEND[Mes
Cotizacion],'INDICADORES (A)'!$K$52)</f>
        <v>0</v>
      </c>
      <c r="L87" s="37">
        <f>COUNTIFS(VEND[Cliente / Empresa],'INDICADORES (A)'!B87,VEND[Mes
Cotizacion],'INDICADORES (A)'!$L$52)</f>
        <v>0</v>
      </c>
      <c r="M87" s="37">
        <f>COUNTIFS(VEND[Cliente / Empresa],'INDICADORES (A)'!B87,VEND[Mes
Cotizacion],'INDICADORES (A)'!$M$52)</f>
        <v>0</v>
      </c>
      <c r="N87" s="110">
        <f>COUNTIFS(VEND[Cliente / Empresa],'INDICADORES (A)'!B87,VEND[Mes
Cotizacion],'INDICADORES (A)'!$N$52)</f>
        <v>0</v>
      </c>
      <c r="O87" s="103">
        <f t="shared" si="4"/>
        <v>1</v>
      </c>
    </row>
    <row r="88" spans="1:29" hidden="1" x14ac:dyDescent="0.25">
      <c r="A88" s="209" t="s">
        <v>1163</v>
      </c>
      <c r="B88" s="95" t="s">
        <v>1242</v>
      </c>
      <c r="C88" s="37">
        <f>COUNTIFS(VEND[Cliente / Empresa],'INDICADORES (A)'!B88,VEND[Mes
Cotizacion],'INDICADORES (A)'!$C$52)</f>
        <v>0</v>
      </c>
      <c r="D88" s="37">
        <f>COUNTIFS(VEND[Cliente / Empresa],'INDICADORES (A)'!B88,VEND[Mes
Cotizacion],'INDICADORES (A)'!$D$52)</f>
        <v>2</v>
      </c>
      <c r="E88" s="37">
        <f>COUNTIFS(VEND[Cliente / Empresa],'INDICADORES (A)'!B88,VEND[Mes
Cotizacion],'INDICADORES (A)'!$E$52)</f>
        <v>12</v>
      </c>
      <c r="F88" s="37">
        <f>COUNTIFS(VEND[Cliente / Empresa],'INDICADORES (A)'!B88,VEND[Mes
Cotizacion],'INDICADORES (A)'!$F$52)</f>
        <v>1</v>
      </c>
      <c r="G88" s="37">
        <f>COUNTIFS(VEND[Cliente / Empresa],'INDICADORES (A)'!B88,VEND[Mes
Cotizacion],'INDICADORES (A)'!$G$52)</f>
        <v>6</v>
      </c>
      <c r="H88" s="37">
        <f>COUNTIFS(VEND[Cliente / Empresa],'INDICADORES (A)'!B88,VEND[Mes
Cotizacion],'INDICADORES (A)'!$H$52)</f>
        <v>0</v>
      </c>
      <c r="I88" s="37">
        <f>COUNTIFS(VEND[Cliente / Empresa],'INDICADORES (A)'!B88,VEND[Mes
Cotizacion],'INDICADORES (A)'!$I$52)</f>
        <v>0</v>
      </c>
      <c r="J88" s="37">
        <f>COUNTIFS(VEND[Cliente / Empresa],'INDICADORES (A)'!B88,VEND[Mes
Cotizacion],'INDICADORES (A)'!$J$52)</f>
        <v>0</v>
      </c>
      <c r="K88" s="37">
        <f>COUNTIFS(VEND[Cliente / Empresa],'INDICADORES (A)'!B88,VEND[Mes
Cotizacion],'INDICADORES (A)'!$K$52)</f>
        <v>0</v>
      </c>
      <c r="L88" s="37">
        <f>COUNTIFS(VEND[Cliente / Empresa],'INDICADORES (A)'!B88,VEND[Mes
Cotizacion],'INDICADORES (A)'!$L$52)</f>
        <v>0</v>
      </c>
      <c r="M88" s="37">
        <f>COUNTIFS(VEND[Cliente / Empresa],'INDICADORES (A)'!B88,VEND[Mes
Cotizacion],'INDICADORES (A)'!$M$52)</f>
        <v>0</v>
      </c>
      <c r="N88" s="110">
        <f>COUNTIFS(VEND[Cliente / Empresa],'INDICADORES (A)'!B88,VEND[Mes
Cotizacion],'INDICADORES (A)'!$N$52)</f>
        <v>0</v>
      </c>
      <c r="O88" s="103">
        <f t="shared" si="4"/>
        <v>21</v>
      </c>
    </row>
    <row r="89" spans="1:29" hidden="1" x14ac:dyDescent="0.25">
      <c r="A89" s="209" t="s">
        <v>68</v>
      </c>
      <c r="B89" s="95" t="s">
        <v>109</v>
      </c>
      <c r="C89" s="37">
        <f>COUNTIFS(VEND[Cliente / Empresa],'INDICADORES (A)'!B89,VEND[Mes
Cotizacion],'INDICADORES (A)'!$C$52)</f>
        <v>0</v>
      </c>
      <c r="D89" s="37">
        <f>COUNTIFS(VEND[Cliente / Empresa],'INDICADORES (A)'!B89,VEND[Mes
Cotizacion],'INDICADORES (A)'!$D$52)</f>
        <v>0</v>
      </c>
      <c r="E89" s="37">
        <f>COUNTIFS(VEND[Cliente / Empresa],'INDICADORES (A)'!B89,VEND[Mes
Cotizacion],'INDICADORES (A)'!$E$52)</f>
        <v>2</v>
      </c>
      <c r="F89" s="37">
        <f>COUNTIFS(VEND[Cliente / Empresa],'INDICADORES (A)'!B89,VEND[Mes
Cotizacion],'INDICADORES (A)'!$F$52)</f>
        <v>10</v>
      </c>
      <c r="G89" s="37">
        <f>COUNTIFS(VEND[Cliente / Empresa],'INDICADORES (A)'!B89,VEND[Mes
Cotizacion],'INDICADORES (A)'!$G$52)</f>
        <v>5</v>
      </c>
      <c r="H89" s="37">
        <f>COUNTIFS(VEND[Cliente / Empresa],'INDICADORES (A)'!B89,VEND[Mes
Cotizacion],'INDICADORES (A)'!$H$52)</f>
        <v>7</v>
      </c>
      <c r="I89" s="37">
        <f>COUNTIFS(VEND[Cliente / Empresa],'INDICADORES (A)'!B89,VEND[Mes
Cotizacion],'INDICADORES (A)'!$I$52)</f>
        <v>0</v>
      </c>
      <c r="J89" s="37">
        <f>COUNTIFS(VEND[Cliente / Empresa],'INDICADORES (A)'!B89,VEND[Mes
Cotizacion],'INDICADORES (A)'!$J$52)</f>
        <v>0</v>
      </c>
      <c r="K89" s="37">
        <f>COUNTIFS(VEND[Cliente / Empresa],'INDICADORES (A)'!B89,VEND[Mes
Cotizacion],'INDICADORES (A)'!$K$52)</f>
        <v>0</v>
      </c>
      <c r="L89" s="37">
        <f>COUNTIFS(VEND[Cliente / Empresa],'INDICADORES (A)'!B89,VEND[Mes
Cotizacion],'INDICADORES (A)'!$L$52)</f>
        <v>0</v>
      </c>
      <c r="M89" s="37">
        <f>COUNTIFS(VEND[Cliente / Empresa],'INDICADORES (A)'!B89,VEND[Mes
Cotizacion],'INDICADORES (A)'!$M$52)</f>
        <v>0</v>
      </c>
      <c r="N89" s="110">
        <f>COUNTIFS(VEND[Cliente / Empresa],'INDICADORES (A)'!B89,VEND[Mes
Cotizacion],'INDICADORES (A)'!$N$52)</f>
        <v>0</v>
      </c>
      <c r="O89" s="103">
        <f t="shared" si="4"/>
        <v>24</v>
      </c>
    </row>
    <row r="90" spans="1:29" hidden="1" x14ac:dyDescent="0.25">
      <c r="B90" s="95" t="s">
        <v>115</v>
      </c>
      <c r="C90" s="37">
        <f>COUNTIFS(VEND[Cliente / Empresa],'INDICADORES (A)'!B90,VEND[Mes
Cotizacion],'INDICADORES (A)'!$C$52)</f>
        <v>0</v>
      </c>
      <c r="D90" s="37">
        <f>COUNTIFS(VEND[Cliente / Empresa],'INDICADORES (A)'!B90,VEND[Mes
Cotizacion],'INDICADORES (A)'!$D$52)</f>
        <v>0</v>
      </c>
      <c r="E90" s="37">
        <f>COUNTIFS(VEND[Cliente / Empresa],'INDICADORES (A)'!B90,VEND[Mes
Cotizacion],'INDICADORES (A)'!$E$52)</f>
        <v>0</v>
      </c>
      <c r="F90" s="37">
        <f>COUNTIFS(VEND[Cliente / Empresa],'INDICADORES (A)'!B90,VEND[Mes
Cotizacion],'INDICADORES (A)'!$F$52)</f>
        <v>1</v>
      </c>
      <c r="G90" s="37">
        <f>COUNTIFS(VEND[Cliente / Empresa],'INDICADORES (A)'!B90,VEND[Mes
Cotizacion],'INDICADORES (A)'!$G$52)</f>
        <v>0</v>
      </c>
      <c r="H90" s="37">
        <f>COUNTIFS(VEND[Cliente / Empresa],'INDICADORES (A)'!B90,VEND[Mes
Cotizacion],'INDICADORES (A)'!$H$52)</f>
        <v>0</v>
      </c>
      <c r="I90" s="37">
        <f>COUNTIFS(VEND[Cliente / Empresa],'INDICADORES (A)'!B90,VEND[Mes
Cotizacion],'INDICADORES (A)'!$I$52)</f>
        <v>0</v>
      </c>
      <c r="J90" s="37">
        <f>COUNTIFS(VEND[Cliente / Empresa],'INDICADORES (A)'!B90,VEND[Mes
Cotizacion],'INDICADORES (A)'!$J$52)</f>
        <v>0</v>
      </c>
      <c r="K90" s="37">
        <f>COUNTIFS(VEND[Cliente / Empresa],'INDICADORES (A)'!B90,VEND[Mes
Cotizacion],'INDICADORES (A)'!$K$52)</f>
        <v>0</v>
      </c>
      <c r="L90" s="37">
        <f>COUNTIFS(VEND[Cliente / Empresa],'INDICADORES (A)'!B90,VEND[Mes
Cotizacion],'INDICADORES (A)'!$L$52)</f>
        <v>0</v>
      </c>
      <c r="M90" s="37">
        <f>COUNTIFS(VEND[Cliente / Empresa],'INDICADORES (A)'!B90,VEND[Mes
Cotizacion],'INDICADORES (A)'!$M$52)</f>
        <v>0</v>
      </c>
      <c r="N90" s="110">
        <f>COUNTIFS(VEND[Cliente / Empresa],'INDICADORES (A)'!B90,VEND[Mes
Cotizacion],'INDICADORES (A)'!$N$52)</f>
        <v>0</v>
      </c>
      <c r="O90" s="103">
        <f t="shared" si="4"/>
        <v>1</v>
      </c>
    </row>
    <row r="91" spans="1:29" hidden="1" x14ac:dyDescent="0.25">
      <c r="A91" s="209" t="s">
        <v>155</v>
      </c>
      <c r="B91" s="95" t="s">
        <v>31</v>
      </c>
      <c r="C91" s="37">
        <f>COUNTIFS(VEND[Cliente / Empresa],'INDICADORES (A)'!B91,VEND[Mes
Cotizacion],'INDICADORES (A)'!$C$52)</f>
        <v>0</v>
      </c>
      <c r="D91" s="37">
        <f>COUNTIFS(VEND[Cliente / Empresa],'INDICADORES (A)'!B91,VEND[Mes
Cotizacion],'INDICADORES (A)'!$D$52)</f>
        <v>0</v>
      </c>
      <c r="E91" s="37">
        <f>COUNTIFS(VEND[Cliente / Empresa],'INDICADORES (A)'!B91,VEND[Mes
Cotizacion],'INDICADORES (A)'!$E$52)</f>
        <v>8</v>
      </c>
      <c r="F91" s="37">
        <f>COUNTIFS(VEND[Cliente / Empresa],'INDICADORES (A)'!B91,VEND[Mes
Cotizacion],'INDICADORES (A)'!$F$52)</f>
        <v>6</v>
      </c>
      <c r="G91" s="37">
        <f>COUNTIFS(VEND[Cliente / Empresa],'INDICADORES (A)'!B91,VEND[Mes
Cotizacion],'INDICADORES (A)'!$G$52)</f>
        <v>11</v>
      </c>
      <c r="H91" s="37">
        <f>COUNTIFS(VEND[Cliente / Empresa],'INDICADORES (A)'!B91,VEND[Mes
Cotizacion],'INDICADORES (A)'!$H$52)</f>
        <v>14</v>
      </c>
      <c r="I91" s="37">
        <f>COUNTIFS(VEND[Cliente / Empresa],'INDICADORES (A)'!B91,VEND[Mes
Cotizacion],'INDICADORES (A)'!$I$52)</f>
        <v>0</v>
      </c>
      <c r="J91" s="37">
        <f>COUNTIFS(VEND[Cliente / Empresa],'INDICADORES (A)'!B91,VEND[Mes
Cotizacion],'INDICADORES (A)'!$J$52)</f>
        <v>0</v>
      </c>
      <c r="K91" s="37">
        <f>COUNTIFS(VEND[Cliente / Empresa],'INDICADORES (A)'!B91,VEND[Mes
Cotizacion],'INDICADORES (A)'!$K$52)</f>
        <v>0</v>
      </c>
      <c r="L91" s="37">
        <f>COUNTIFS(VEND[Cliente / Empresa],'INDICADORES (A)'!B91,VEND[Mes
Cotizacion],'INDICADORES (A)'!$L$52)</f>
        <v>0</v>
      </c>
      <c r="M91" s="37">
        <f>COUNTIFS(VEND[Cliente / Empresa],'INDICADORES (A)'!B91,VEND[Mes
Cotizacion],'INDICADORES (A)'!$M$52)</f>
        <v>0</v>
      </c>
      <c r="N91" s="110">
        <f>COUNTIFS(VEND[Cliente / Empresa],'INDICADORES (A)'!B91,VEND[Mes
Cotizacion],'INDICADORES (A)'!$N$52)</f>
        <v>0</v>
      </c>
      <c r="O91" s="103">
        <f t="shared" si="4"/>
        <v>39</v>
      </c>
    </row>
    <row r="92" spans="1:29" hidden="1" x14ac:dyDescent="0.25">
      <c r="B92" s="95" t="s">
        <v>133</v>
      </c>
      <c r="C92" s="37">
        <f>COUNTIFS(VEND[Cliente / Empresa],'INDICADORES (A)'!B92,VEND[Mes
Cotizacion],'INDICADORES (A)'!$C$52)</f>
        <v>0</v>
      </c>
      <c r="D92" s="37">
        <f>COUNTIFS(VEND[Cliente / Empresa],'INDICADORES (A)'!B92,VEND[Mes
Cotizacion],'INDICADORES (A)'!$D$52)</f>
        <v>0</v>
      </c>
      <c r="E92" s="37">
        <f>COUNTIFS(VEND[Cliente / Empresa],'INDICADORES (A)'!B92,VEND[Mes
Cotizacion],'INDICADORES (A)'!$E$52)</f>
        <v>1</v>
      </c>
      <c r="F92" s="37">
        <f>COUNTIFS(VEND[Cliente / Empresa],'INDICADORES (A)'!B92,VEND[Mes
Cotizacion],'INDICADORES (A)'!$F$52)</f>
        <v>0</v>
      </c>
      <c r="G92" s="37">
        <f>COUNTIFS(VEND[Cliente / Empresa],'INDICADORES (A)'!B92,VEND[Mes
Cotizacion],'INDICADORES (A)'!$G$52)</f>
        <v>0</v>
      </c>
      <c r="H92" s="37">
        <f>COUNTIFS(VEND[Cliente / Empresa],'INDICADORES (A)'!B92,VEND[Mes
Cotizacion],'INDICADORES (A)'!$H$52)</f>
        <v>0</v>
      </c>
      <c r="I92" s="37">
        <f>COUNTIFS(VEND[Cliente / Empresa],'INDICADORES (A)'!B92,VEND[Mes
Cotizacion],'INDICADORES (A)'!$I$52)</f>
        <v>0</v>
      </c>
      <c r="J92" s="37">
        <f>COUNTIFS(VEND[Cliente / Empresa],'INDICADORES (A)'!B92,VEND[Mes
Cotizacion],'INDICADORES (A)'!$J$52)</f>
        <v>0</v>
      </c>
      <c r="K92" s="37">
        <f>COUNTIFS(VEND[Cliente / Empresa],'INDICADORES (A)'!B92,VEND[Mes
Cotizacion],'INDICADORES (A)'!$K$52)</f>
        <v>0</v>
      </c>
      <c r="L92" s="37">
        <f>COUNTIFS(VEND[Cliente / Empresa],'INDICADORES (A)'!B92,VEND[Mes
Cotizacion],'INDICADORES (A)'!$L$52)</f>
        <v>0</v>
      </c>
      <c r="M92" s="37">
        <f>COUNTIFS(VEND[Cliente / Empresa],'INDICADORES (A)'!B92,VEND[Mes
Cotizacion],'INDICADORES (A)'!$M$52)</f>
        <v>0</v>
      </c>
      <c r="N92" s="110">
        <f>COUNTIFS(VEND[Cliente / Empresa],'INDICADORES (A)'!B92,VEND[Mes
Cotizacion],'INDICADORES (A)'!$N$52)</f>
        <v>0</v>
      </c>
      <c r="O92" s="103">
        <f t="shared" si="4"/>
        <v>1</v>
      </c>
    </row>
    <row r="93" spans="1:29" hidden="1" x14ac:dyDescent="0.25">
      <c r="A93" s="209" t="s">
        <v>155</v>
      </c>
      <c r="B93" s="95" t="s">
        <v>320</v>
      </c>
      <c r="C93" s="37">
        <f>COUNTIFS(VEND[Cliente / Empresa],'INDICADORES (A)'!B93,VEND[Mes
Cotizacion],'INDICADORES (A)'!$C$52)</f>
        <v>0</v>
      </c>
      <c r="D93" s="37">
        <f>COUNTIFS(VEND[Cliente / Empresa],'INDICADORES (A)'!B93,VEND[Mes
Cotizacion],'INDICADORES (A)'!$D$52)</f>
        <v>1</v>
      </c>
      <c r="E93" s="37">
        <f>COUNTIFS(VEND[Cliente / Empresa],'INDICADORES (A)'!B93,VEND[Mes
Cotizacion],'INDICADORES (A)'!$E$52)</f>
        <v>0</v>
      </c>
      <c r="F93" s="37">
        <f>COUNTIFS(VEND[Cliente / Empresa],'INDICADORES (A)'!B93,VEND[Mes
Cotizacion],'INDICADORES (A)'!$F$52)</f>
        <v>1</v>
      </c>
      <c r="G93" s="37">
        <f>COUNTIFS(VEND[Cliente / Empresa],'INDICADORES (A)'!B93,VEND[Mes
Cotizacion],'INDICADORES (A)'!$G$52)</f>
        <v>0</v>
      </c>
      <c r="H93" s="37">
        <f>COUNTIFS(VEND[Cliente / Empresa],'INDICADORES (A)'!B93,VEND[Mes
Cotizacion],'INDICADORES (A)'!$H$52)</f>
        <v>6</v>
      </c>
      <c r="I93" s="37">
        <f>COUNTIFS(VEND[Cliente / Empresa],'INDICADORES (A)'!B93,VEND[Mes
Cotizacion],'INDICADORES (A)'!$I$52)</f>
        <v>0</v>
      </c>
      <c r="J93" s="37">
        <f>COUNTIFS(VEND[Cliente / Empresa],'INDICADORES (A)'!B93,VEND[Mes
Cotizacion],'INDICADORES (A)'!$J$52)</f>
        <v>0</v>
      </c>
      <c r="K93" s="37">
        <f>COUNTIFS(VEND[Cliente / Empresa],'INDICADORES (A)'!B93,VEND[Mes
Cotizacion],'INDICADORES (A)'!$K$52)</f>
        <v>0</v>
      </c>
      <c r="L93" s="37">
        <f>COUNTIFS(VEND[Cliente / Empresa],'INDICADORES (A)'!B93,VEND[Mes
Cotizacion],'INDICADORES (A)'!$L$52)</f>
        <v>0</v>
      </c>
      <c r="M93" s="37">
        <f>COUNTIFS(VEND[Cliente / Empresa],'INDICADORES (A)'!B93,VEND[Mes
Cotizacion],'INDICADORES (A)'!$M$52)</f>
        <v>0</v>
      </c>
      <c r="N93" s="110">
        <f>COUNTIFS(VEND[Cliente / Empresa],'INDICADORES (A)'!B93,VEND[Mes
Cotizacion],'INDICADORES (A)'!$N$52)</f>
        <v>0</v>
      </c>
      <c r="O93" s="103">
        <f t="shared" si="4"/>
        <v>8</v>
      </c>
    </row>
    <row r="94" spans="1:29" hidden="1" x14ac:dyDescent="0.25">
      <c r="A94" s="209" t="s">
        <v>50</v>
      </c>
      <c r="B94" s="95" t="s">
        <v>116</v>
      </c>
      <c r="C94" s="37">
        <f>COUNTIFS(VEND[Cliente / Empresa],'INDICADORES (A)'!B94,VEND[Mes
Cotizacion],'INDICADORES (A)'!$C$52)</f>
        <v>0</v>
      </c>
      <c r="D94" s="37">
        <f>COUNTIFS(VEND[Cliente / Empresa],'INDICADORES (A)'!B94,VEND[Mes
Cotizacion],'INDICADORES (A)'!$D$52)</f>
        <v>0</v>
      </c>
      <c r="E94" s="37">
        <f>COUNTIFS(VEND[Cliente / Empresa],'INDICADORES (A)'!B94,VEND[Mes
Cotizacion],'INDICADORES (A)'!$E$52)</f>
        <v>0</v>
      </c>
      <c r="F94" s="37">
        <f>COUNTIFS(VEND[Cliente / Empresa],'INDICADORES (A)'!B94,VEND[Mes
Cotizacion],'INDICADORES (A)'!$F$52)</f>
        <v>3</v>
      </c>
      <c r="G94" s="37">
        <f>COUNTIFS(VEND[Cliente / Empresa],'INDICADORES (A)'!B94,VEND[Mes
Cotizacion],'INDICADORES (A)'!$G$52)</f>
        <v>2</v>
      </c>
      <c r="H94" s="37">
        <f>COUNTIFS(VEND[Cliente / Empresa],'INDICADORES (A)'!B94,VEND[Mes
Cotizacion],'INDICADORES (A)'!$H$52)</f>
        <v>2</v>
      </c>
      <c r="I94" s="37">
        <f>COUNTIFS(VEND[Cliente / Empresa],'INDICADORES (A)'!B94,VEND[Mes
Cotizacion],'INDICADORES (A)'!$I$52)</f>
        <v>0</v>
      </c>
      <c r="J94" s="37">
        <f>COUNTIFS(VEND[Cliente / Empresa],'INDICADORES (A)'!B94,VEND[Mes
Cotizacion],'INDICADORES (A)'!$J$52)</f>
        <v>0</v>
      </c>
      <c r="K94" s="37">
        <f>COUNTIFS(VEND[Cliente / Empresa],'INDICADORES (A)'!B94,VEND[Mes
Cotizacion],'INDICADORES (A)'!$K$52)</f>
        <v>0</v>
      </c>
      <c r="L94" s="37">
        <f>COUNTIFS(VEND[Cliente / Empresa],'INDICADORES (A)'!B94,VEND[Mes
Cotizacion],'INDICADORES (A)'!$L$52)</f>
        <v>0</v>
      </c>
      <c r="M94" s="37">
        <f>COUNTIFS(VEND[Cliente / Empresa],'INDICADORES (A)'!B94,VEND[Mes
Cotizacion],'INDICADORES (A)'!$M$52)</f>
        <v>0</v>
      </c>
      <c r="N94" s="110">
        <f>COUNTIFS(VEND[Cliente / Empresa],'INDICADORES (A)'!B94,VEND[Mes
Cotizacion],'INDICADORES (A)'!$N$52)</f>
        <v>0</v>
      </c>
      <c r="O94" s="103">
        <f t="shared" si="4"/>
        <v>7</v>
      </c>
    </row>
    <row r="95" spans="1:29" hidden="1" x14ac:dyDescent="0.25">
      <c r="B95" s="95" t="s">
        <v>113</v>
      </c>
      <c r="C95" s="37">
        <f>COUNTIFS(VEND[Cliente / Empresa],'INDICADORES (A)'!B95,VEND[Mes
Cotizacion],'INDICADORES (A)'!$C$52)</f>
        <v>0</v>
      </c>
      <c r="D95" s="37">
        <f>COUNTIFS(VEND[Cliente / Empresa],'INDICADORES (A)'!B95,VEND[Mes
Cotizacion],'INDICADORES (A)'!$D$52)</f>
        <v>0</v>
      </c>
      <c r="E95" s="37">
        <f>COUNTIFS(VEND[Cliente / Empresa],'INDICADORES (A)'!B95,VEND[Mes
Cotizacion],'INDICADORES (A)'!$E$52)</f>
        <v>0</v>
      </c>
      <c r="F95" s="37">
        <f>COUNTIFS(VEND[Cliente / Empresa],'INDICADORES (A)'!B95,VEND[Mes
Cotizacion],'INDICADORES (A)'!$F$52)</f>
        <v>2</v>
      </c>
      <c r="G95" s="37">
        <f>COUNTIFS(VEND[Cliente / Empresa],'INDICADORES (A)'!B95,VEND[Mes
Cotizacion],'INDICADORES (A)'!$G$52)</f>
        <v>0</v>
      </c>
      <c r="H95" s="37">
        <f>COUNTIFS(VEND[Cliente / Empresa],'INDICADORES (A)'!B95,VEND[Mes
Cotizacion],'INDICADORES (A)'!$H$52)</f>
        <v>0</v>
      </c>
      <c r="I95" s="37">
        <f>COUNTIFS(VEND[Cliente / Empresa],'INDICADORES (A)'!B95,VEND[Mes
Cotizacion],'INDICADORES (A)'!$I$52)</f>
        <v>0</v>
      </c>
      <c r="J95" s="37">
        <f>COUNTIFS(VEND[Cliente / Empresa],'INDICADORES (A)'!B95,VEND[Mes
Cotizacion],'INDICADORES (A)'!$J$52)</f>
        <v>0</v>
      </c>
      <c r="K95" s="37">
        <f>COUNTIFS(VEND[Cliente / Empresa],'INDICADORES (A)'!B95,VEND[Mes
Cotizacion],'INDICADORES (A)'!$K$52)</f>
        <v>0</v>
      </c>
      <c r="L95" s="37">
        <f>COUNTIFS(VEND[Cliente / Empresa],'INDICADORES (A)'!B95,VEND[Mes
Cotizacion],'INDICADORES (A)'!$L$52)</f>
        <v>0</v>
      </c>
      <c r="M95" s="37">
        <f>COUNTIFS(VEND[Cliente / Empresa],'INDICADORES (A)'!B95,VEND[Mes
Cotizacion],'INDICADORES (A)'!$M$52)</f>
        <v>0</v>
      </c>
      <c r="N95" s="110">
        <f>COUNTIFS(VEND[Cliente / Empresa],'INDICADORES (A)'!B95,VEND[Mes
Cotizacion],'INDICADORES (A)'!$N$52)</f>
        <v>0</v>
      </c>
      <c r="O95" s="103">
        <f t="shared" si="4"/>
        <v>2</v>
      </c>
    </row>
    <row r="96" spans="1:29" x14ac:dyDescent="0.25">
      <c r="A96" s="209" t="s">
        <v>41</v>
      </c>
      <c r="B96" s="95" t="s">
        <v>1056</v>
      </c>
      <c r="C96" s="37">
        <f>COUNTIFS(VEND[Cliente / Empresa],'INDICADORES (A)'!B96,VEND[Mes
Cotizacion],'INDICADORES (A)'!$C$52)</f>
        <v>0</v>
      </c>
      <c r="D96" s="37">
        <f>COUNTIFS(VEND[Cliente / Empresa],'INDICADORES (A)'!B96,VEND[Mes
Cotizacion],'INDICADORES (A)'!$D$52)</f>
        <v>1</v>
      </c>
      <c r="E96" s="37">
        <f>COUNTIFS(VEND[Cliente / Empresa],'INDICADORES (A)'!B96,VEND[Mes
Cotizacion],'INDICADORES (A)'!$E$52)</f>
        <v>0</v>
      </c>
      <c r="F96" s="37">
        <f>COUNTIFS(VEND[Cliente / Empresa],'INDICADORES (A)'!B96,VEND[Mes
Cotizacion],'INDICADORES (A)'!$F$52)</f>
        <v>0</v>
      </c>
      <c r="G96" s="37">
        <f>COUNTIFS(VEND[Cliente / Empresa],'INDICADORES (A)'!B96,VEND[Mes
Cotizacion],'INDICADORES (A)'!$G$52)</f>
        <v>0</v>
      </c>
      <c r="H96" s="37">
        <f>COUNTIFS(VEND[Cliente / Empresa],'INDICADORES (A)'!B96,VEND[Mes
Cotizacion],'INDICADORES (A)'!$H$52)</f>
        <v>0</v>
      </c>
      <c r="I96" s="37">
        <f>COUNTIFS(VEND[Cliente / Empresa],'INDICADORES (A)'!B96,VEND[Mes
Cotizacion],'INDICADORES (A)'!$I$52)</f>
        <v>0</v>
      </c>
      <c r="J96" s="37">
        <f>COUNTIFS(VEND[Cliente / Empresa],'INDICADORES (A)'!B96,VEND[Mes
Cotizacion],'INDICADORES (A)'!$J$52)</f>
        <v>0</v>
      </c>
      <c r="K96" s="37">
        <f>COUNTIFS(VEND[Cliente / Empresa],'INDICADORES (A)'!B96,VEND[Mes
Cotizacion],'INDICADORES (A)'!$K$52)</f>
        <v>0</v>
      </c>
      <c r="L96" s="37">
        <f>COUNTIFS(VEND[Cliente / Empresa],'INDICADORES (A)'!B96,VEND[Mes
Cotizacion],'INDICADORES (A)'!$L$52)</f>
        <v>0</v>
      </c>
      <c r="M96" s="37">
        <f>COUNTIFS(VEND[Cliente / Empresa],'INDICADORES (A)'!B96,VEND[Mes
Cotizacion],'INDICADORES (A)'!$M$52)</f>
        <v>0</v>
      </c>
      <c r="N96" s="110">
        <f>COUNTIFS(VEND[Cliente / Empresa],'INDICADORES (A)'!B96,VEND[Mes
Cotizacion],'INDICADORES (A)'!$N$52)</f>
        <v>0</v>
      </c>
      <c r="O96" s="103">
        <f t="shared" si="4"/>
        <v>1</v>
      </c>
    </row>
    <row r="97" spans="1:15" x14ac:dyDescent="0.25">
      <c r="A97" s="209" t="s">
        <v>41</v>
      </c>
      <c r="B97" s="95" t="s">
        <v>329</v>
      </c>
      <c r="C97" s="37">
        <f>COUNTIFS(VEND[Cliente / Empresa],'INDICADORES (A)'!B97,VEND[Mes
Cotizacion],'INDICADORES (A)'!$C$52)</f>
        <v>0</v>
      </c>
      <c r="D97" s="37">
        <f>COUNTIFS(VEND[Cliente / Empresa],'INDICADORES (A)'!B97,VEND[Mes
Cotizacion],'INDICADORES (A)'!$D$52)</f>
        <v>4</v>
      </c>
      <c r="E97" s="37">
        <f>COUNTIFS(VEND[Cliente / Empresa],'INDICADORES (A)'!B97,VEND[Mes
Cotizacion],'INDICADORES (A)'!$E$52)</f>
        <v>0</v>
      </c>
      <c r="F97" s="37">
        <f>COUNTIFS(VEND[Cliente / Empresa],'INDICADORES (A)'!B97,VEND[Mes
Cotizacion],'INDICADORES (A)'!$F$52)</f>
        <v>1</v>
      </c>
      <c r="G97" s="37">
        <f>COUNTIFS(VEND[Cliente / Empresa],'INDICADORES (A)'!B97,VEND[Mes
Cotizacion],'INDICADORES (A)'!$G$52)</f>
        <v>1</v>
      </c>
      <c r="H97" s="37">
        <f>COUNTIFS(VEND[Cliente / Empresa],'INDICADORES (A)'!B97,VEND[Mes
Cotizacion],'INDICADORES (A)'!$H$52)</f>
        <v>1</v>
      </c>
      <c r="I97" s="37">
        <f>COUNTIFS(VEND[Cliente / Empresa],'INDICADORES (A)'!B97,VEND[Mes
Cotizacion],'INDICADORES (A)'!$I$52)</f>
        <v>0</v>
      </c>
      <c r="J97" s="37">
        <f>COUNTIFS(VEND[Cliente / Empresa],'INDICADORES (A)'!B97,VEND[Mes
Cotizacion],'INDICADORES (A)'!$J$52)</f>
        <v>0</v>
      </c>
      <c r="K97" s="37">
        <f>COUNTIFS(VEND[Cliente / Empresa],'INDICADORES (A)'!B97,VEND[Mes
Cotizacion],'INDICADORES (A)'!$K$52)</f>
        <v>0</v>
      </c>
      <c r="L97" s="37">
        <f>COUNTIFS(VEND[Cliente / Empresa],'INDICADORES (A)'!B97,VEND[Mes
Cotizacion],'INDICADORES (A)'!$L$52)</f>
        <v>0</v>
      </c>
      <c r="M97" s="37">
        <f>COUNTIFS(VEND[Cliente / Empresa],'INDICADORES (A)'!B97,VEND[Mes
Cotizacion],'INDICADORES (A)'!$M$52)</f>
        <v>0</v>
      </c>
      <c r="N97" s="110">
        <f>COUNTIFS(VEND[Cliente / Empresa],'INDICADORES (A)'!B97,VEND[Mes
Cotizacion],'INDICADORES (A)'!$N$52)</f>
        <v>0</v>
      </c>
      <c r="O97" s="103">
        <f t="shared" si="4"/>
        <v>7</v>
      </c>
    </row>
    <row r="98" spans="1:15" x14ac:dyDescent="0.25">
      <c r="A98" s="209" t="s">
        <v>41</v>
      </c>
      <c r="B98" s="95" t="s">
        <v>1048</v>
      </c>
      <c r="C98" s="37">
        <f>COUNTIFS(VEND[Cliente / Empresa],'INDICADORES (A)'!B98,VEND[Mes
Cotizacion],'INDICADORES (A)'!$C$52)</f>
        <v>0</v>
      </c>
      <c r="D98" s="37">
        <f>COUNTIFS(VEND[Cliente / Empresa],'INDICADORES (A)'!B98,VEND[Mes
Cotizacion],'INDICADORES (A)'!$D$52)</f>
        <v>2</v>
      </c>
      <c r="E98" s="37">
        <f>COUNTIFS(VEND[Cliente / Empresa],'INDICADORES (A)'!B98,VEND[Mes
Cotizacion],'INDICADORES (A)'!$E$52)</f>
        <v>0</v>
      </c>
      <c r="F98" s="37">
        <f>COUNTIFS(VEND[Cliente / Empresa],'INDICADORES (A)'!B98,VEND[Mes
Cotizacion],'INDICADORES (A)'!$F$52)</f>
        <v>0</v>
      </c>
      <c r="G98" s="37">
        <f>COUNTIFS(VEND[Cliente / Empresa],'INDICADORES (A)'!B98,VEND[Mes
Cotizacion],'INDICADORES (A)'!$G$52)</f>
        <v>0</v>
      </c>
      <c r="H98" s="37">
        <f>COUNTIFS(VEND[Cliente / Empresa],'INDICADORES (A)'!B98,VEND[Mes
Cotizacion],'INDICADORES (A)'!$H$52)</f>
        <v>0</v>
      </c>
      <c r="I98" s="37">
        <f>COUNTIFS(VEND[Cliente / Empresa],'INDICADORES (A)'!B98,VEND[Mes
Cotizacion],'INDICADORES (A)'!$I$52)</f>
        <v>0</v>
      </c>
      <c r="J98" s="37">
        <f>COUNTIFS(VEND[Cliente / Empresa],'INDICADORES (A)'!B98,VEND[Mes
Cotizacion],'INDICADORES (A)'!$J$52)</f>
        <v>0</v>
      </c>
      <c r="K98" s="37">
        <f>COUNTIFS(VEND[Cliente / Empresa],'INDICADORES (A)'!B98,VEND[Mes
Cotizacion],'INDICADORES (A)'!$K$52)</f>
        <v>0</v>
      </c>
      <c r="L98" s="37">
        <f>COUNTIFS(VEND[Cliente / Empresa],'INDICADORES (A)'!B98,VEND[Mes
Cotizacion],'INDICADORES (A)'!$L$52)</f>
        <v>0</v>
      </c>
      <c r="M98" s="37">
        <f>COUNTIFS(VEND[Cliente / Empresa],'INDICADORES (A)'!B98,VEND[Mes
Cotizacion],'INDICADORES (A)'!$M$52)</f>
        <v>0</v>
      </c>
      <c r="N98" s="110">
        <f>COUNTIFS(VEND[Cliente / Empresa],'INDICADORES (A)'!B98,VEND[Mes
Cotizacion],'INDICADORES (A)'!$N$52)</f>
        <v>0</v>
      </c>
      <c r="O98" s="103">
        <f t="shared" si="4"/>
        <v>2</v>
      </c>
    </row>
    <row r="99" spans="1:15" x14ac:dyDescent="0.25">
      <c r="A99" s="209" t="s">
        <v>41</v>
      </c>
      <c r="B99" s="95" t="s">
        <v>1390</v>
      </c>
      <c r="C99" s="37">
        <f>COUNTIFS(VEND[Cliente / Empresa],'INDICADORES (A)'!B99,VEND[Mes
Cotizacion],'INDICADORES (A)'!$C$52)</f>
        <v>0</v>
      </c>
      <c r="D99" s="37">
        <f>COUNTIFS(VEND[Cliente / Empresa],'INDICADORES (A)'!B99,VEND[Mes
Cotizacion],'INDICADORES (A)'!$D$52)</f>
        <v>0</v>
      </c>
      <c r="E99" s="37">
        <f>COUNTIFS(VEND[Cliente / Empresa],'INDICADORES (A)'!B99,VEND[Mes
Cotizacion],'INDICADORES (A)'!$E$52)</f>
        <v>0</v>
      </c>
      <c r="F99" s="37">
        <f>COUNTIFS(VEND[Cliente / Empresa],'INDICADORES (A)'!B99,VEND[Mes
Cotizacion],'INDICADORES (A)'!$F$52)</f>
        <v>0</v>
      </c>
      <c r="G99" s="37">
        <f>COUNTIFS(VEND[Cliente / Empresa],'INDICADORES (A)'!B99,VEND[Mes
Cotizacion],'INDICADORES (A)'!$G$52)</f>
        <v>1</v>
      </c>
      <c r="H99" s="37">
        <f>COUNTIFS(VEND[Cliente / Empresa],'INDICADORES (A)'!B99,VEND[Mes
Cotizacion],'INDICADORES (A)'!$H$52)</f>
        <v>0</v>
      </c>
      <c r="I99" s="37">
        <f>COUNTIFS(VEND[Cliente / Empresa],'INDICADORES (A)'!B99,VEND[Mes
Cotizacion],'INDICADORES (A)'!$I$52)</f>
        <v>0</v>
      </c>
      <c r="J99" s="37">
        <f>COUNTIFS(VEND[Cliente / Empresa],'INDICADORES (A)'!B99,VEND[Mes
Cotizacion],'INDICADORES (A)'!$J$52)</f>
        <v>0</v>
      </c>
      <c r="K99" s="37">
        <f>COUNTIFS(VEND[Cliente / Empresa],'INDICADORES (A)'!B99,VEND[Mes
Cotizacion],'INDICADORES (A)'!$K$52)</f>
        <v>0</v>
      </c>
      <c r="L99" s="37">
        <f>COUNTIFS(VEND[Cliente / Empresa],'INDICADORES (A)'!B99,VEND[Mes
Cotizacion],'INDICADORES (A)'!$L$52)</f>
        <v>0</v>
      </c>
      <c r="M99" s="37">
        <f>COUNTIFS(VEND[Cliente / Empresa],'INDICADORES (A)'!B99,VEND[Mes
Cotizacion],'INDICADORES (A)'!$M$52)</f>
        <v>0</v>
      </c>
      <c r="N99" s="110">
        <f>COUNTIFS(VEND[Cliente / Empresa],'INDICADORES (A)'!B99,VEND[Mes
Cotizacion],'INDICADORES (A)'!$N$52)</f>
        <v>0</v>
      </c>
      <c r="O99" s="103">
        <f t="shared" si="4"/>
        <v>1</v>
      </c>
    </row>
    <row r="100" spans="1:15" hidden="1" x14ac:dyDescent="0.25">
      <c r="A100" s="209" t="s">
        <v>50</v>
      </c>
      <c r="B100" s="95" t="s">
        <v>1690</v>
      </c>
      <c r="C100" s="37">
        <f>COUNTIFS(VEND[Cliente / Empresa],'INDICADORES (A)'!B100,VEND[Mes
Cotizacion],'INDICADORES (A)'!$C$52)</f>
        <v>0</v>
      </c>
      <c r="D100" s="37">
        <f>COUNTIFS(VEND[Cliente / Empresa],'INDICADORES (A)'!B100,VEND[Mes
Cotizacion],'INDICADORES (A)'!$D$52)</f>
        <v>0</v>
      </c>
      <c r="E100" s="37">
        <f>COUNTIFS(VEND[Cliente / Empresa],'INDICADORES (A)'!B100,VEND[Mes
Cotizacion],'INDICADORES (A)'!$E$52)</f>
        <v>0</v>
      </c>
      <c r="F100" s="37">
        <f>COUNTIFS(VEND[Cliente / Empresa],'INDICADORES (A)'!B100,VEND[Mes
Cotizacion],'INDICADORES (A)'!$F$52)</f>
        <v>0</v>
      </c>
      <c r="G100" s="37">
        <f>COUNTIFS(VEND[Cliente / Empresa],'INDICADORES (A)'!B100,VEND[Mes
Cotizacion],'INDICADORES (A)'!$G$52)</f>
        <v>1</v>
      </c>
      <c r="H100" s="37">
        <f>COUNTIFS(VEND[Cliente / Empresa],'INDICADORES (A)'!B100,VEND[Mes
Cotizacion],'INDICADORES (A)'!$H$52)</f>
        <v>0</v>
      </c>
      <c r="I100" s="37">
        <f>COUNTIFS(VEND[Cliente / Empresa],'INDICADORES (A)'!B100,VEND[Mes
Cotizacion],'INDICADORES (A)'!$I$52)</f>
        <v>0</v>
      </c>
      <c r="J100" s="37">
        <f>COUNTIFS(VEND[Cliente / Empresa],'INDICADORES (A)'!B100,VEND[Mes
Cotizacion],'INDICADORES (A)'!$J$52)</f>
        <v>0</v>
      </c>
      <c r="K100" s="37">
        <f>COUNTIFS(VEND[Cliente / Empresa],'INDICADORES (A)'!B100,VEND[Mes
Cotizacion],'INDICADORES (A)'!$K$52)</f>
        <v>0</v>
      </c>
      <c r="L100" s="37">
        <f>COUNTIFS(VEND[Cliente / Empresa],'INDICADORES (A)'!B100,VEND[Mes
Cotizacion],'INDICADORES (A)'!$L$52)</f>
        <v>0</v>
      </c>
      <c r="M100" s="37">
        <f>COUNTIFS(VEND[Cliente / Empresa],'INDICADORES (A)'!B100,VEND[Mes
Cotizacion],'INDICADORES (A)'!$M$52)</f>
        <v>0</v>
      </c>
      <c r="N100" s="110">
        <f>COUNTIFS(VEND[Cliente / Empresa],'INDICADORES (A)'!B100,VEND[Mes
Cotizacion],'INDICADORES (A)'!$N$52)</f>
        <v>0</v>
      </c>
      <c r="O100" s="103">
        <f t="shared" si="4"/>
        <v>1</v>
      </c>
    </row>
    <row r="101" spans="1:15" hidden="1" x14ac:dyDescent="0.25">
      <c r="A101" s="209" t="s">
        <v>50</v>
      </c>
      <c r="B101" s="95" t="s">
        <v>33</v>
      </c>
      <c r="C101" s="37">
        <f>COUNTIFS(VEND[Cliente / Empresa],'INDICADORES (A)'!B101,VEND[Mes
Cotizacion],'INDICADORES (A)'!$C$52)</f>
        <v>0</v>
      </c>
      <c r="D101" s="37">
        <f>COUNTIFS(VEND[Cliente / Empresa],'INDICADORES (A)'!B101,VEND[Mes
Cotizacion],'INDICADORES (A)'!$D$52)</f>
        <v>2</v>
      </c>
      <c r="E101" s="37">
        <f>COUNTIFS(VEND[Cliente / Empresa],'INDICADORES (A)'!B101,VEND[Mes
Cotizacion],'INDICADORES (A)'!$E$52)</f>
        <v>9</v>
      </c>
      <c r="F101" s="37">
        <f>COUNTIFS(VEND[Cliente / Empresa],'INDICADORES (A)'!B101,VEND[Mes
Cotizacion],'INDICADORES (A)'!$F$52)</f>
        <v>15</v>
      </c>
      <c r="G101" s="37">
        <f>COUNTIFS(VEND[Cliente / Empresa],'INDICADORES (A)'!B101,VEND[Mes
Cotizacion],'INDICADORES (A)'!$G$52)</f>
        <v>20</v>
      </c>
      <c r="H101" s="37">
        <f>COUNTIFS(VEND[Cliente / Empresa],'INDICADORES (A)'!B101,VEND[Mes
Cotizacion],'INDICADORES (A)'!$H$52)</f>
        <v>11</v>
      </c>
      <c r="I101" s="37">
        <f>COUNTIFS(VEND[Cliente / Empresa],'INDICADORES (A)'!B101,VEND[Mes
Cotizacion],'INDICADORES (A)'!$I$52)</f>
        <v>0</v>
      </c>
      <c r="J101" s="37">
        <f>COUNTIFS(VEND[Cliente / Empresa],'INDICADORES (A)'!B101,VEND[Mes
Cotizacion],'INDICADORES (A)'!$J$52)</f>
        <v>0</v>
      </c>
      <c r="K101" s="37">
        <f>COUNTIFS(VEND[Cliente / Empresa],'INDICADORES (A)'!B101,VEND[Mes
Cotizacion],'INDICADORES (A)'!$K$52)</f>
        <v>0</v>
      </c>
      <c r="L101" s="37">
        <f>COUNTIFS(VEND[Cliente / Empresa],'INDICADORES (A)'!B101,VEND[Mes
Cotizacion],'INDICADORES (A)'!$L$52)</f>
        <v>0</v>
      </c>
      <c r="M101" s="37">
        <f>COUNTIFS(VEND[Cliente / Empresa],'INDICADORES (A)'!B101,VEND[Mes
Cotizacion],'INDICADORES (A)'!$M$52)</f>
        <v>0</v>
      </c>
      <c r="N101" s="110">
        <f>COUNTIFS(VEND[Cliente / Empresa],'INDICADORES (A)'!B101,VEND[Mes
Cotizacion],'INDICADORES (A)'!$N$52)</f>
        <v>0</v>
      </c>
      <c r="O101" s="103">
        <f t="shared" si="4"/>
        <v>57</v>
      </c>
    </row>
    <row r="102" spans="1:15" hidden="1" x14ac:dyDescent="0.25">
      <c r="B102" s="95" t="s">
        <v>75</v>
      </c>
      <c r="C102" s="37">
        <f>COUNTIFS(VEND[Cliente / Empresa],'INDICADORES (A)'!B102,VEND[Mes
Cotizacion],'INDICADORES (A)'!$C$52)</f>
        <v>0</v>
      </c>
      <c r="D102" s="37">
        <f>COUNTIFS(VEND[Cliente / Empresa],'INDICADORES (A)'!B102,VEND[Mes
Cotizacion],'INDICADORES (A)'!$D$52)</f>
        <v>0</v>
      </c>
      <c r="E102" s="37">
        <f>COUNTIFS(VEND[Cliente / Empresa],'INDICADORES (A)'!B102,VEND[Mes
Cotizacion],'INDICADORES (A)'!$E$52)</f>
        <v>1</v>
      </c>
      <c r="F102" s="37">
        <f>COUNTIFS(VEND[Cliente / Empresa],'INDICADORES (A)'!B102,VEND[Mes
Cotizacion],'INDICADORES (A)'!$F$52)</f>
        <v>0</v>
      </c>
      <c r="G102" s="37">
        <f>COUNTIFS(VEND[Cliente / Empresa],'INDICADORES (A)'!B102,VEND[Mes
Cotizacion],'INDICADORES (A)'!$G$52)</f>
        <v>0</v>
      </c>
      <c r="H102" s="37">
        <f>COUNTIFS(VEND[Cliente / Empresa],'INDICADORES (A)'!B102,VEND[Mes
Cotizacion],'INDICADORES (A)'!$H$52)</f>
        <v>0</v>
      </c>
      <c r="I102" s="37">
        <f>COUNTIFS(VEND[Cliente / Empresa],'INDICADORES (A)'!B102,VEND[Mes
Cotizacion],'INDICADORES (A)'!$I$52)</f>
        <v>0</v>
      </c>
      <c r="J102" s="37">
        <f>COUNTIFS(VEND[Cliente / Empresa],'INDICADORES (A)'!B102,VEND[Mes
Cotizacion],'INDICADORES (A)'!$J$52)</f>
        <v>0</v>
      </c>
      <c r="K102" s="37">
        <f>COUNTIFS(VEND[Cliente / Empresa],'INDICADORES (A)'!B102,VEND[Mes
Cotizacion],'INDICADORES (A)'!$K$52)</f>
        <v>0</v>
      </c>
      <c r="L102" s="37">
        <f>COUNTIFS(VEND[Cliente / Empresa],'INDICADORES (A)'!B102,VEND[Mes
Cotizacion],'INDICADORES (A)'!$L$52)</f>
        <v>0</v>
      </c>
      <c r="M102" s="37">
        <f>COUNTIFS(VEND[Cliente / Empresa],'INDICADORES (A)'!B102,VEND[Mes
Cotizacion],'INDICADORES (A)'!$M$52)</f>
        <v>0</v>
      </c>
      <c r="N102" s="110">
        <f>COUNTIFS(VEND[Cliente / Empresa],'INDICADORES (A)'!B102,VEND[Mes
Cotizacion],'INDICADORES (A)'!$N$52)</f>
        <v>0</v>
      </c>
      <c r="O102" s="103">
        <f t="shared" si="4"/>
        <v>1</v>
      </c>
    </row>
    <row r="103" spans="1:15" hidden="1" x14ac:dyDescent="0.25">
      <c r="A103" s="209" t="s">
        <v>68</v>
      </c>
      <c r="B103" s="95" t="s">
        <v>122</v>
      </c>
      <c r="C103" s="37">
        <f>COUNTIFS(VEND[Cliente / Empresa],'INDICADORES (A)'!B103,VEND[Mes
Cotizacion],'INDICADORES (A)'!$C$52)</f>
        <v>0</v>
      </c>
      <c r="D103" s="37">
        <f>COUNTIFS(VEND[Cliente / Empresa],'INDICADORES (A)'!B103,VEND[Mes
Cotizacion],'INDICADORES (A)'!$D$52)</f>
        <v>0</v>
      </c>
      <c r="E103" s="37">
        <f>COUNTIFS(VEND[Cliente / Empresa],'INDICADORES (A)'!B103,VEND[Mes
Cotizacion],'INDICADORES (A)'!$E$52)</f>
        <v>0</v>
      </c>
      <c r="F103" s="37">
        <f>COUNTIFS(VEND[Cliente / Empresa],'INDICADORES (A)'!B103,VEND[Mes
Cotizacion],'INDICADORES (A)'!$F$52)</f>
        <v>3</v>
      </c>
      <c r="G103" s="37">
        <f>COUNTIFS(VEND[Cliente / Empresa],'INDICADORES (A)'!B103,VEND[Mes
Cotizacion],'INDICADORES (A)'!$G$52)</f>
        <v>6</v>
      </c>
      <c r="H103" s="37">
        <f>COUNTIFS(VEND[Cliente / Empresa],'INDICADORES (A)'!B103,VEND[Mes
Cotizacion],'INDICADORES (A)'!$H$52)</f>
        <v>3</v>
      </c>
      <c r="I103" s="37">
        <f>COUNTIFS(VEND[Cliente / Empresa],'INDICADORES (A)'!B103,VEND[Mes
Cotizacion],'INDICADORES (A)'!$I$52)</f>
        <v>0</v>
      </c>
      <c r="J103" s="37">
        <f>COUNTIFS(VEND[Cliente / Empresa],'INDICADORES (A)'!B103,VEND[Mes
Cotizacion],'INDICADORES (A)'!$J$52)</f>
        <v>0</v>
      </c>
      <c r="K103" s="37">
        <f>COUNTIFS(VEND[Cliente / Empresa],'INDICADORES (A)'!B103,VEND[Mes
Cotizacion],'INDICADORES (A)'!$K$52)</f>
        <v>0</v>
      </c>
      <c r="L103" s="37">
        <f>COUNTIFS(VEND[Cliente / Empresa],'INDICADORES (A)'!B103,VEND[Mes
Cotizacion],'INDICADORES (A)'!$L$52)</f>
        <v>0</v>
      </c>
      <c r="M103" s="37">
        <f>COUNTIFS(VEND[Cliente / Empresa],'INDICADORES (A)'!B103,VEND[Mes
Cotizacion],'INDICADORES (A)'!$M$52)</f>
        <v>0</v>
      </c>
      <c r="N103" s="110">
        <f>COUNTIFS(VEND[Cliente / Empresa],'INDICADORES (A)'!B103,VEND[Mes
Cotizacion],'INDICADORES (A)'!$N$52)</f>
        <v>0</v>
      </c>
      <c r="O103" s="103">
        <f t="shared" si="4"/>
        <v>12</v>
      </c>
    </row>
    <row r="104" spans="1:15" hidden="1" x14ac:dyDescent="0.25">
      <c r="B104" s="95" t="s">
        <v>120</v>
      </c>
      <c r="C104" s="37">
        <f>COUNTIFS(VEND[Cliente / Empresa],'INDICADORES (A)'!B104,VEND[Mes
Cotizacion],'INDICADORES (A)'!$C$52)</f>
        <v>0</v>
      </c>
      <c r="D104" s="37">
        <f>COUNTIFS(VEND[Cliente / Empresa],'INDICADORES (A)'!B104,VEND[Mes
Cotizacion],'INDICADORES (A)'!$D$52)</f>
        <v>0</v>
      </c>
      <c r="E104" s="37">
        <f>COUNTIFS(VEND[Cliente / Empresa],'INDICADORES (A)'!B104,VEND[Mes
Cotizacion],'INDICADORES (A)'!$E$52)</f>
        <v>0</v>
      </c>
      <c r="F104" s="37">
        <f>COUNTIFS(VEND[Cliente / Empresa],'INDICADORES (A)'!B104,VEND[Mes
Cotizacion],'INDICADORES (A)'!$F$52)</f>
        <v>1</v>
      </c>
      <c r="G104" s="37">
        <f>COUNTIFS(VEND[Cliente / Empresa],'INDICADORES (A)'!B104,VEND[Mes
Cotizacion],'INDICADORES (A)'!$G$52)</f>
        <v>0</v>
      </c>
      <c r="H104" s="37">
        <f>COUNTIFS(VEND[Cliente / Empresa],'INDICADORES (A)'!B104,VEND[Mes
Cotizacion],'INDICADORES (A)'!$H$52)</f>
        <v>0</v>
      </c>
      <c r="I104" s="37">
        <f>COUNTIFS(VEND[Cliente / Empresa],'INDICADORES (A)'!B104,VEND[Mes
Cotizacion],'INDICADORES (A)'!$I$52)</f>
        <v>0</v>
      </c>
      <c r="J104" s="37">
        <f>COUNTIFS(VEND[Cliente / Empresa],'INDICADORES (A)'!B104,VEND[Mes
Cotizacion],'INDICADORES (A)'!$J$52)</f>
        <v>0</v>
      </c>
      <c r="K104" s="37">
        <f>COUNTIFS(VEND[Cliente / Empresa],'INDICADORES (A)'!B104,VEND[Mes
Cotizacion],'INDICADORES (A)'!$K$52)</f>
        <v>0</v>
      </c>
      <c r="L104" s="37">
        <f>COUNTIFS(VEND[Cliente / Empresa],'INDICADORES (A)'!B104,VEND[Mes
Cotizacion],'INDICADORES (A)'!$L$52)</f>
        <v>0</v>
      </c>
      <c r="M104" s="37">
        <f>COUNTIFS(VEND[Cliente / Empresa],'INDICADORES (A)'!B104,VEND[Mes
Cotizacion],'INDICADORES (A)'!$M$52)</f>
        <v>0</v>
      </c>
      <c r="N104" s="110">
        <f>COUNTIFS(VEND[Cliente / Empresa],'INDICADORES (A)'!B104,VEND[Mes
Cotizacion],'INDICADORES (A)'!$N$52)</f>
        <v>0</v>
      </c>
      <c r="O104" s="103">
        <f t="shared" si="4"/>
        <v>1</v>
      </c>
    </row>
    <row r="105" spans="1:15" s="105" customFormat="1" hidden="1" x14ac:dyDescent="0.25">
      <c r="A105" s="209" t="s">
        <v>68</v>
      </c>
      <c r="B105" s="95" t="s">
        <v>1828</v>
      </c>
      <c r="C105" s="37">
        <f>COUNTIFS(VEND[Cliente / Empresa],'INDICADORES (A)'!B105,VEND[Mes
Cotizacion],'INDICADORES (A)'!$C$52)</f>
        <v>0</v>
      </c>
      <c r="D105" s="37">
        <f>COUNTIFS(VEND[Cliente / Empresa],'INDICADORES (A)'!B105,VEND[Mes
Cotizacion],'INDICADORES (A)'!$D$52)</f>
        <v>0</v>
      </c>
      <c r="E105" s="37">
        <f>COUNTIFS(VEND[Cliente / Empresa],'INDICADORES (A)'!B105,VEND[Mes
Cotizacion],'INDICADORES (A)'!$E$52)</f>
        <v>0</v>
      </c>
      <c r="F105" s="37">
        <f>COUNTIFS(VEND[Cliente / Empresa],'INDICADORES (A)'!B105,VEND[Mes
Cotizacion],'INDICADORES (A)'!$F$52)</f>
        <v>0</v>
      </c>
      <c r="G105" s="37">
        <f>COUNTIFS(VEND[Cliente / Empresa],'INDICADORES (A)'!B105,VEND[Mes
Cotizacion],'INDICADORES (A)'!$G$52)</f>
        <v>1</v>
      </c>
      <c r="H105" s="37">
        <f>COUNTIFS(VEND[Cliente / Empresa],'INDICADORES (A)'!B105,VEND[Mes
Cotizacion],'INDICADORES (A)'!$H$52)</f>
        <v>0</v>
      </c>
      <c r="I105" s="37">
        <f>COUNTIFS(VEND[Cliente / Empresa],'INDICADORES (A)'!B105,VEND[Mes
Cotizacion],'INDICADORES (A)'!$I$52)</f>
        <v>0</v>
      </c>
      <c r="J105" s="37">
        <f>COUNTIFS(VEND[Cliente / Empresa],'INDICADORES (A)'!B105,VEND[Mes
Cotizacion],'INDICADORES (A)'!$J$52)</f>
        <v>0</v>
      </c>
      <c r="K105" s="37">
        <f>COUNTIFS(VEND[Cliente / Empresa],'INDICADORES (A)'!B105,VEND[Mes
Cotizacion],'INDICADORES (A)'!$K$52)</f>
        <v>0</v>
      </c>
      <c r="L105" s="37">
        <f>COUNTIFS(VEND[Cliente / Empresa],'INDICADORES (A)'!B105,VEND[Mes
Cotizacion],'INDICADORES (A)'!$L$52)</f>
        <v>0</v>
      </c>
      <c r="M105" s="37">
        <f>COUNTIFS(VEND[Cliente / Empresa],'INDICADORES (A)'!B105,VEND[Mes
Cotizacion],'INDICADORES (A)'!$M$52)</f>
        <v>0</v>
      </c>
      <c r="N105" s="110">
        <f>COUNTIFS(VEND[Cliente / Empresa],'INDICADORES (A)'!B105,VEND[Mes
Cotizacion],'INDICADORES (A)'!$N$52)</f>
        <v>0</v>
      </c>
      <c r="O105" s="103">
        <f t="shared" ref="O105" si="7">SUM(C105:N105)</f>
        <v>1</v>
      </c>
    </row>
    <row r="106" spans="1:15" x14ac:dyDescent="0.25">
      <c r="A106" s="209" t="s">
        <v>41</v>
      </c>
      <c r="B106" s="95" t="s">
        <v>1766</v>
      </c>
      <c r="C106" s="37">
        <f>COUNTIFS(VEND[Cliente / Empresa],'INDICADORES (A)'!B106,VEND[Mes
Cotizacion],'INDICADORES (A)'!$C$52)</f>
        <v>0</v>
      </c>
      <c r="D106" s="37">
        <f>COUNTIFS(VEND[Cliente / Empresa],'INDICADORES (A)'!B106,VEND[Mes
Cotizacion],'INDICADORES (A)'!$D$52)</f>
        <v>0</v>
      </c>
      <c r="E106" s="37">
        <f>COUNTIFS(VEND[Cliente / Empresa],'INDICADORES (A)'!B106,VEND[Mes
Cotizacion],'INDICADORES (A)'!$E$52)</f>
        <v>0</v>
      </c>
      <c r="F106" s="37">
        <f>COUNTIFS(VEND[Cliente / Empresa],'INDICADORES (A)'!B106,VEND[Mes
Cotizacion],'INDICADORES (A)'!$F$52)</f>
        <v>0</v>
      </c>
      <c r="G106" s="37">
        <f>COUNTIFS(VEND[Cliente / Empresa],'INDICADORES (A)'!B106,VEND[Mes
Cotizacion],'INDICADORES (A)'!$G$52)</f>
        <v>0</v>
      </c>
      <c r="H106" s="37">
        <f>COUNTIFS(VEND[Cliente / Empresa],'INDICADORES (A)'!B106,VEND[Mes
Cotizacion],'INDICADORES (A)'!$H$52)</f>
        <v>2</v>
      </c>
      <c r="I106" s="37">
        <f>COUNTIFS(VEND[Cliente / Empresa],'INDICADORES (A)'!B106,VEND[Mes
Cotizacion],'INDICADORES (A)'!$I$52)</f>
        <v>0</v>
      </c>
      <c r="J106" s="37">
        <f>COUNTIFS(VEND[Cliente / Empresa],'INDICADORES (A)'!B106,VEND[Mes
Cotizacion],'INDICADORES (A)'!$J$52)</f>
        <v>0</v>
      </c>
      <c r="K106" s="37">
        <f>COUNTIFS(VEND[Cliente / Empresa],'INDICADORES (A)'!B106,VEND[Mes
Cotizacion],'INDICADORES (A)'!$K$52)</f>
        <v>0</v>
      </c>
      <c r="L106" s="37">
        <f>COUNTIFS(VEND[Cliente / Empresa],'INDICADORES (A)'!B106,VEND[Mes
Cotizacion],'INDICADORES (A)'!$L$52)</f>
        <v>0</v>
      </c>
      <c r="M106" s="37">
        <f>COUNTIFS(VEND[Cliente / Empresa],'INDICADORES (A)'!B106,VEND[Mes
Cotizacion],'INDICADORES (A)'!$M$52)</f>
        <v>0</v>
      </c>
      <c r="N106" s="110">
        <f>COUNTIFS(VEND[Cliente / Empresa],'INDICADORES (A)'!B106,VEND[Mes
Cotizacion],'INDICADORES (A)'!$N$52)</f>
        <v>0</v>
      </c>
      <c r="O106" s="103">
        <f t="shared" si="4"/>
        <v>2</v>
      </c>
    </row>
    <row r="107" spans="1:15" hidden="1" x14ac:dyDescent="0.25">
      <c r="A107" s="209" t="s">
        <v>50</v>
      </c>
      <c r="B107" s="95" t="s">
        <v>126</v>
      </c>
      <c r="C107" s="37">
        <f>COUNTIFS(VEND[Cliente / Empresa],'INDICADORES (A)'!B107,VEND[Mes
Cotizacion],'INDICADORES (A)'!$C$52)</f>
        <v>0</v>
      </c>
      <c r="D107" s="37">
        <f>COUNTIFS(VEND[Cliente / Empresa],'INDICADORES (A)'!B107,VEND[Mes
Cotizacion],'INDICADORES (A)'!$D$52)</f>
        <v>1</v>
      </c>
      <c r="E107" s="37">
        <f>COUNTIFS(VEND[Cliente / Empresa],'INDICADORES (A)'!B107,VEND[Mes
Cotizacion],'INDICADORES (A)'!$E$52)</f>
        <v>0</v>
      </c>
      <c r="F107" s="37">
        <f>COUNTIFS(VEND[Cliente / Empresa],'INDICADORES (A)'!B107,VEND[Mes
Cotizacion],'INDICADORES (A)'!$F$52)</f>
        <v>1</v>
      </c>
      <c r="G107" s="37">
        <f>COUNTIFS(VEND[Cliente / Empresa],'INDICADORES (A)'!B107,VEND[Mes
Cotizacion],'INDICADORES (A)'!$G$52)</f>
        <v>4</v>
      </c>
      <c r="H107" s="37">
        <f>COUNTIFS(VEND[Cliente / Empresa],'INDICADORES (A)'!B107,VEND[Mes
Cotizacion],'INDICADORES (A)'!$H$52)</f>
        <v>3</v>
      </c>
      <c r="I107" s="37">
        <f>COUNTIFS(VEND[Cliente / Empresa],'INDICADORES (A)'!B107,VEND[Mes
Cotizacion],'INDICADORES (A)'!$I$52)</f>
        <v>0</v>
      </c>
      <c r="J107" s="37">
        <f>COUNTIFS(VEND[Cliente / Empresa],'INDICADORES (A)'!B107,VEND[Mes
Cotizacion],'INDICADORES (A)'!$J$52)</f>
        <v>0</v>
      </c>
      <c r="K107" s="37">
        <f>COUNTIFS(VEND[Cliente / Empresa],'INDICADORES (A)'!B107,VEND[Mes
Cotizacion],'INDICADORES (A)'!$K$52)</f>
        <v>0</v>
      </c>
      <c r="L107" s="37">
        <f>COUNTIFS(VEND[Cliente / Empresa],'INDICADORES (A)'!B107,VEND[Mes
Cotizacion],'INDICADORES (A)'!$L$52)</f>
        <v>0</v>
      </c>
      <c r="M107" s="37">
        <f>COUNTIFS(VEND[Cliente / Empresa],'INDICADORES (A)'!B107,VEND[Mes
Cotizacion],'INDICADORES (A)'!$M$52)</f>
        <v>0</v>
      </c>
      <c r="N107" s="110">
        <f>COUNTIFS(VEND[Cliente / Empresa],'INDICADORES (A)'!B107,VEND[Mes
Cotizacion],'INDICADORES (A)'!$N$52)</f>
        <v>0</v>
      </c>
      <c r="O107" s="103">
        <f t="shared" si="4"/>
        <v>9</v>
      </c>
    </row>
    <row r="108" spans="1:15" hidden="1" x14ac:dyDescent="0.25">
      <c r="A108" s="209" t="s">
        <v>155</v>
      </c>
      <c r="B108" s="95" t="s">
        <v>1259</v>
      </c>
      <c r="C108" s="37">
        <f>COUNTIFS(VEND[Cliente / Empresa],'INDICADORES (A)'!B108,VEND[Mes
Cotizacion],'INDICADORES (A)'!$C$52)</f>
        <v>0</v>
      </c>
      <c r="D108" s="37">
        <f>COUNTIFS(VEND[Cliente / Empresa],'INDICADORES (A)'!B108,VEND[Mes
Cotizacion],'INDICADORES (A)'!$D$52)</f>
        <v>0</v>
      </c>
      <c r="E108" s="37">
        <f>COUNTIFS(VEND[Cliente / Empresa],'INDICADORES (A)'!B108,VEND[Mes
Cotizacion],'INDICADORES (A)'!$E$52)</f>
        <v>0</v>
      </c>
      <c r="F108" s="37">
        <f>COUNTIFS(VEND[Cliente / Empresa],'INDICADORES (A)'!B108,VEND[Mes
Cotizacion],'INDICADORES (A)'!$F$52)</f>
        <v>0</v>
      </c>
      <c r="G108" s="37">
        <f>COUNTIFS(VEND[Cliente / Empresa],'INDICADORES (A)'!B108,VEND[Mes
Cotizacion],'INDICADORES (A)'!$G$52)</f>
        <v>1</v>
      </c>
      <c r="H108" s="37">
        <f>COUNTIFS(VEND[Cliente / Empresa],'INDICADORES (A)'!B108,VEND[Mes
Cotizacion],'INDICADORES (A)'!$H$52)</f>
        <v>1</v>
      </c>
      <c r="I108" s="37">
        <f>COUNTIFS(VEND[Cliente / Empresa],'INDICADORES (A)'!B108,VEND[Mes
Cotizacion],'INDICADORES (A)'!$I$52)</f>
        <v>0</v>
      </c>
      <c r="J108" s="37">
        <f>COUNTIFS(VEND[Cliente / Empresa],'INDICADORES (A)'!B108,VEND[Mes
Cotizacion],'INDICADORES (A)'!$J$52)</f>
        <v>0</v>
      </c>
      <c r="K108" s="37">
        <f>COUNTIFS(VEND[Cliente / Empresa],'INDICADORES (A)'!B108,VEND[Mes
Cotizacion],'INDICADORES (A)'!$K$52)</f>
        <v>0</v>
      </c>
      <c r="L108" s="37">
        <f>COUNTIFS(VEND[Cliente / Empresa],'INDICADORES (A)'!B108,VEND[Mes
Cotizacion],'INDICADORES (A)'!$L$52)</f>
        <v>0</v>
      </c>
      <c r="M108" s="37">
        <f>COUNTIFS(VEND[Cliente / Empresa],'INDICADORES (A)'!B108,VEND[Mes
Cotizacion],'INDICADORES (A)'!$M$52)</f>
        <v>0</v>
      </c>
      <c r="N108" s="110">
        <f>COUNTIFS(VEND[Cliente / Empresa],'INDICADORES (A)'!B108,VEND[Mes
Cotizacion],'INDICADORES (A)'!$N$52)</f>
        <v>0</v>
      </c>
      <c r="O108" s="103">
        <f t="shared" si="4"/>
        <v>2</v>
      </c>
    </row>
    <row r="109" spans="1:15" hidden="1" x14ac:dyDescent="0.25">
      <c r="B109" s="95" t="s">
        <v>98</v>
      </c>
      <c r="C109" s="37">
        <f>COUNTIFS(VEND[Cliente / Empresa],'INDICADORES (A)'!B109,VEND[Mes
Cotizacion],'INDICADORES (A)'!$C$52)</f>
        <v>0</v>
      </c>
      <c r="D109" s="37">
        <f>COUNTIFS(VEND[Cliente / Empresa],'INDICADORES (A)'!B109,VEND[Mes
Cotizacion],'INDICADORES (A)'!$D$52)</f>
        <v>0</v>
      </c>
      <c r="E109" s="37">
        <f>COUNTIFS(VEND[Cliente / Empresa],'INDICADORES (A)'!B109,VEND[Mes
Cotizacion],'INDICADORES (A)'!$E$52)</f>
        <v>1</v>
      </c>
      <c r="F109" s="37">
        <f>COUNTIFS(VEND[Cliente / Empresa],'INDICADORES (A)'!B109,VEND[Mes
Cotizacion],'INDICADORES (A)'!$F$52)</f>
        <v>1</v>
      </c>
      <c r="G109" s="37">
        <f>COUNTIFS(VEND[Cliente / Empresa],'INDICADORES (A)'!B109,VEND[Mes
Cotizacion],'INDICADORES (A)'!$G$52)</f>
        <v>0</v>
      </c>
      <c r="H109" s="37">
        <f>COUNTIFS(VEND[Cliente / Empresa],'INDICADORES (A)'!B109,VEND[Mes
Cotizacion],'INDICADORES (A)'!$H$52)</f>
        <v>0</v>
      </c>
      <c r="I109" s="37">
        <f>COUNTIFS(VEND[Cliente / Empresa],'INDICADORES (A)'!B109,VEND[Mes
Cotizacion],'INDICADORES (A)'!$I$52)</f>
        <v>0</v>
      </c>
      <c r="J109" s="37">
        <f>COUNTIFS(VEND[Cliente / Empresa],'INDICADORES (A)'!B109,VEND[Mes
Cotizacion],'INDICADORES (A)'!$J$52)</f>
        <v>0</v>
      </c>
      <c r="K109" s="37">
        <f>COUNTIFS(VEND[Cliente / Empresa],'INDICADORES (A)'!B109,VEND[Mes
Cotizacion],'INDICADORES (A)'!$K$52)</f>
        <v>0</v>
      </c>
      <c r="L109" s="37">
        <f>COUNTIFS(VEND[Cliente / Empresa],'INDICADORES (A)'!B109,VEND[Mes
Cotizacion],'INDICADORES (A)'!$L$52)</f>
        <v>0</v>
      </c>
      <c r="M109" s="37">
        <f>COUNTIFS(VEND[Cliente / Empresa],'INDICADORES (A)'!B109,VEND[Mes
Cotizacion],'INDICADORES (A)'!$M$52)</f>
        <v>0</v>
      </c>
      <c r="N109" s="110">
        <f>COUNTIFS(VEND[Cliente / Empresa],'INDICADORES (A)'!B109,VEND[Mes
Cotizacion],'INDICADORES (A)'!$N$52)</f>
        <v>0</v>
      </c>
      <c r="O109" s="103">
        <f t="shared" si="4"/>
        <v>2</v>
      </c>
    </row>
    <row r="110" spans="1:15" hidden="1" x14ac:dyDescent="0.25">
      <c r="B110" s="95" t="s">
        <v>129</v>
      </c>
      <c r="C110" s="37">
        <f>COUNTIFS(VEND[Cliente / Empresa],'INDICADORES (A)'!B110,VEND[Mes
Cotizacion],'INDICADORES (A)'!$C$52)</f>
        <v>0</v>
      </c>
      <c r="D110" s="37">
        <f>COUNTIFS(VEND[Cliente / Empresa],'INDICADORES (A)'!B110,VEND[Mes
Cotizacion],'INDICADORES (A)'!$D$52)</f>
        <v>0</v>
      </c>
      <c r="E110" s="37">
        <f>COUNTIFS(VEND[Cliente / Empresa],'INDICADORES (A)'!B110,VEND[Mes
Cotizacion],'INDICADORES (A)'!$E$52)</f>
        <v>0</v>
      </c>
      <c r="F110" s="37">
        <f>COUNTIFS(VEND[Cliente / Empresa],'INDICADORES (A)'!B110,VEND[Mes
Cotizacion],'INDICADORES (A)'!$F$52)</f>
        <v>2</v>
      </c>
      <c r="G110" s="37">
        <f>COUNTIFS(VEND[Cliente / Empresa],'INDICADORES (A)'!B110,VEND[Mes
Cotizacion],'INDICADORES (A)'!$G$52)</f>
        <v>2</v>
      </c>
      <c r="H110" s="37">
        <f>COUNTIFS(VEND[Cliente / Empresa],'INDICADORES (A)'!B110,VEND[Mes
Cotizacion],'INDICADORES (A)'!$H$52)</f>
        <v>1</v>
      </c>
      <c r="I110" s="37">
        <f>COUNTIFS(VEND[Cliente / Empresa],'INDICADORES (A)'!B110,VEND[Mes
Cotizacion],'INDICADORES (A)'!$I$52)</f>
        <v>0</v>
      </c>
      <c r="J110" s="37">
        <f>COUNTIFS(VEND[Cliente / Empresa],'INDICADORES (A)'!B110,VEND[Mes
Cotizacion],'INDICADORES (A)'!$J$52)</f>
        <v>0</v>
      </c>
      <c r="K110" s="37">
        <f>COUNTIFS(VEND[Cliente / Empresa],'INDICADORES (A)'!B110,VEND[Mes
Cotizacion],'INDICADORES (A)'!$K$52)</f>
        <v>0</v>
      </c>
      <c r="L110" s="37">
        <f>COUNTIFS(VEND[Cliente / Empresa],'INDICADORES (A)'!B110,VEND[Mes
Cotizacion],'INDICADORES (A)'!$L$52)</f>
        <v>0</v>
      </c>
      <c r="M110" s="37">
        <f>COUNTIFS(VEND[Cliente / Empresa],'INDICADORES (A)'!B110,VEND[Mes
Cotizacion],'INDICADORES (A)'!$M$52)</f>
        <v>0</v>
      </c>
      <c r="N110" s="110">
        <f>COUNTIFS(VEND[Cliente / Empresa],'INDICADORES (A)'!B110,VEND[Mes
Cotizacion],'INDICADORES (A)'!$N$52)</f>
        <v>0</v>
      </c>
      <c r="O110" s="103">
        <f t="shared" si="4"/>
        <v>5</v>
      </c>
    </row>
    <row r="111" spans="1:15" hidden="1" x14ac:dyDescent="0.25">
      <c r="A111" s="209" t="s">
        <v>50</v>
      </c>
      <c r="B111" s="95" t="s">
        <v>1109</v>
      </c>
      <c r="C111" s="37">
        <f>COUNTIFS(VEND[Cliente / Empresa],'INDICADORES (A)'!B111,VEND[Mes
Cotizacion],'INDICADORES (A)'!$C$52)</f>
        <v>0</v>
      </c>
      <c r="D111" s="37">
        <f>COUNTIFS(VEND[Cliente / Empresa],'INDICADORES (A)'!B111,VEND[Mes
Cotizacion],'INDICADORES (A)'!$D$52)</f>
        <v>1</v>
      </c>
      <c r="E111" s="37">
        <f>COUNTIFS(VEND[Cliente / Empresa],'INDICADORES (A)'!B111,VEND[Mes
Cotizacion],'INDICADORES (A)'!$E$52)</f>
        <v>0</v>
      </c>
      <c r="F111" s="37">
        <f>COUNTIFS(VEND[Cliente / Empresa],'INDICADORES (A)'!B111,VEND[Mes
Cotizacion],'INDICADORES (A)'!$F$52)</f>
        <v>0</v>
      </c>
      <c r="G111" s="37">
        <f>COUNTIFS(VEND[Cliente / Empresa],'INDICADORES (A)'!B111,VEND[Mes
Cotizacion],'INDICADORES (A)'!$G$52)</f>
        <v>8</v>
      </c>
      <c r="H111" s="37">
        <f>COUNTIFS(VEND[Cliente / Empresa],'INDICADORES (A)'!B111,VEND[Mes
Cotizacion],'INDICADORES (A)'!$H$52)</f>
        <v>5</v>
      </c>
      <c r="I111" s="37">
        <f>COUNTIFS(VEND[Cliente / Empresa],'INDICADORES (A)'!B111,VEND[Mes
Cotizacion],'INDICADORES (A)'!$I$52)</f>
        <v>0</v>
      </c>
      <c r="J111" s="37">
        <f>COUNTIFS(VEND[Cliente / Empresa],'INDICADORES (A)'!B111,VEND[Mes
Cotizacion],'INDICADORES (A)'!$J$52)</f>
        <v>0</v>
      </c>
      <c r="K111" s="37">
        <f>COUNTIFS(VEND[Cliente / Empresa],'INDICADORES (A)'!B111,VEND[Mes
Cotizacion],'INDICADORES (A)'!$K$52)</f>
        <v>0</v>
      </c>
      <c r="L111" s="37">
        <f>COUNTIFS(VEND[Cliente / Empresa],'INDICADORES (A)'!B111,VEND[Mes
Cotizacion],'INDICADORES (A)'!$L$52)</f>
        <v>0</v>
      </c>
      <c r="M111" s="37">
        <f>COUNTIFS(VEND[Cliente / Empresa],'INDICADORES (A)'!B111,VEND[Mes
Cotizacion],'INDICADORES (A)'!$M$52)</f>
        <v>0</v>
      </c>
      <c r="N111" s="110">
        <f>COUNTIFS(VEND[Cliente / Empresa],'INDICADORES (A)'!B111,VEND[Mes
Cotizacion],'INDICADORES (A)'!$N$52)</f>
        <v>0</v>
      </c>
      <c r="O111" s="103">
        <f t="shared" si="4"/>
        <v>14</v>
      </c>
    </row>
    <row r="112" spans="1:15" hidden="1" x14ac:dyDescent="0.25">
      <c r="A112" s="209" t="s">
        <v>68</v>
      </c>
      <c r="B112" s="95" t="s">
        <v>1593</v>
      </c>
      <c r="C112" s="37">
        <f>COUNTIFS(VEND[Cliente / Empresa],'INDICADORES (A)'!B112,VEND[Mes
Cotizacion],'INDICADORES (A)'!$C$52)</f>
        <v>0</v>
      </c>
      <c r="D112" s="37">
        <f>COUNTIFS(VEND[Cliente / Empresa],'INDICADORES (A)'!B112,VEND[Mes
Cotizacion],'INDICADORES (A)'!$D$52)</f>
        <v>0</v>
      </c>
      <c r="E112" s="37">
        <f>COUNTIFS(VEND[Cliente / Empresa],'INDICADORES (A)'!B112,VEND[Mes
Cotizacion],'INDICADORES (A)'!$E$52)</f>
        <v>0</v>
      </c>
      <c r="F112" s="37">
        <f>COUNTIFS(VEND[Cliente / Empresa],'INDICADORES (A)'!B112,VEND[Mes
Cotizacion],'INDICADORES (A)'!$F$52)</f>
        <v>0</v>
      </c>
      <c r="G112" s="37">
        <f>COUNTIFS(VEND[Cliente / Empresa],'INDICADORES (A)'!B112,VEND[Mes
Cotizacion],'INDICADORES (A)'!$G$52)</f>
        <v>1</v>
      </c>
      <c r="H112" s="37">
        <f>COUNTIFS(VEND[Cliente / Empresa],'INDICADORES (A)'!B112,VEND[Mes
Cotizacion],'INDICADORES (A)'!$H$52)</f>
        <v>0</v>
      </c>
      <c r="I112" s="37">
        <f>COUNTIFS(VEND[Cliente / Empresa],'INDICADORES (A)'!B112,VEND[Mes
Cotizacion],'INDICADORES (A)'!$I$52)</f>
        <v>0</v>
      </c>
      <c r="J112" s="37">
        <f>COUNTIFS(VEND[Cliente / Empresa],'INDICADORES (A)'!B112,VEND[Mes
Cotizacion],'INDICADORES (A)'!$J$52)</f>
        <v>0</v>
      </c>
      <c r="K112" s="37">
        <f>COUNTIFS(VEND[Cliente / Empresa],'INDICADORES (A)'!B112,VEND[Mes
Cotizacion],'INDICADORES (A)'!$K$52)</f>
        <v>0</v>
      </c>
      <c r="L112" s="37">
        <f>COUNTIFS(VEND[Cliente / Empresa],'INDICADORES (A)'!B112,VEND[Mes
Cotizacion],'INDICADORES (A)'!$L$52)</f>
        <v>0</v>
      </c>
      <c r="M112" s="37">
        <f>COUNTIFS(VEND[Cliente / Empresa],'INDICADORES (A)'!B112,VEND[Mes
Cotizacion],'INDICADORES (A)'!$M$52)</f>
        <v>0</v>
      </c>
      <c r="N112" s="110">
        <f>COUNTIFS(VEND[Cliente / Empresa],'INDICADORES (A)'!B112,VEND[Mes
Cotizacion],'INDICADORES (A)'!$N$52)</f>
        <v>0</v>
      </c>
      <c r="O112" s="103">
        <f t="shared" si="4"/>
        <v>1</v>
      </c>
    </row>
    <row r="113" spans="1:15" hidden="1" x14ac:dyDescent="0.25">
      <c r="B113" s="95" t="s">
        <v>101</v>
      </c>
      <c r="C113" s="37">
        <f>COUNTIFS(VEND[Cliente / Empresa],'INDICADORES (A)'!B113,VEND[Mes
Cotizacion],'INDICADORES (A)'!$C$52)</f>
        <v>0</v>
      </c>
      <c r="D113" s="37">
        <f>COUNTIFS(VEND[Cliente / Empresa],'INDICADORES (A)'!B113,VEND[Mes
Cotizacion],'INDICADORES (A)'!$D$52)</f>
        <v>0</v>
      </c>
      <c r="E113" s="37">
        <f>COUNTIFS(VEND[Cliente / Empresa],'INDICADORES (A)'!B113,VEND[Mes
Cotizacion],'INDICADORES (A)'!$E$52)</f>
        <v>1</v>
      </c>
      <c r="F113" s="37">
        <f>COUNTIFS(VEND[Cliente / Empresa],'INDICADORES (A)'!B113,VEND[Mes
Cotizacion],'INDICADORES (A)'!$F$52)</f>
        <v>0</v>
      </c>
      <c r="G113" s="37">
        <f>COUNTIFS(VEND[Cliente / Empresa],'INDICADORES (A)'!B113,VEND[Mes
Cotizacion],'INDICADORES (A)'!$G$52)</f>
        <v>0</v>
      </c>
      <c r="H113" s="37">
        <f>COUNTIFS(VEND[Cliente / Empresa],'INDICADORES (A)'!B113,VEND[Mes
Cotizacion],'INDICADORES (A)'!$H$52)</f>
        <v>0</v>
      </c>
      <c r="I113" s="37">
        <f>COUNTIFS(VEND[Cliente / Empresa],'INDICADORES (A)'!B113,VEND[Mes
Cotizacion],'INDICADORES (A)'!$I$52)</f>
        <v>0</v>
      </c>
      <c r="J113" s="37">
        <f>COUNTIFS(VEND[Cliente / Empresa],'INDICADORES (A)'!B113,VEND[Mes
Cotizacion],'INDICADORES (A)'!$J$52)</f>
        <v>0</v>
      </c>
      <c r="K113" s="37">
        <f>COUNTIFS(VEND[Cliente / Empresa],'INDICADORES (A)'!B113,VEND[Mes
Cotizacion],'INDICADORES (A)'!$K$52)</f>
        <v>0</v>
      </c>
      <c r="L113" s="37">
        <f>COUNTIFS(VEND[Cliente / Empresa],'INDICADORES (A)'!B113,VEND[Mes
Cotizacion],'INDICADORES (A)'!$L$52)</f>
        <v>0</v>
      </c>
      <c r="M113" s="37">
        <f>COUNTIFS(VEND[Cliente / Empresa],'INDICADORES (A)'!B113,VEND[Mes
Cotizacion],'INDICADORES (A)'!$M$52)</f>
        <v>0</v>
      </c>
      <c r="N113" s="110">
        <f>COUNTIFS(VEND[Cliente / Empresa],'INDICADORES (A)'!B113,VEND[Mes
Cotizacion],'INDICADORES (A)'!$N$52)</f>
        <v>0</v>
      </c>
      <c r="O113" s="103">
        <f t="shared" si="4"/>
        <v>1</v>
      </c>
    </row>
    <row r="114" spans="1:15" hidden="1" x14ac:dyDescent="0.25">
      <c r="A114" s="209" t="s">
        <v>68</v>
      </c>
      <c r="B114" s="95" t="s">
        <v>138</v>
      </c>
      <c r="C114" s="37">
        <f>COUNTIFS(VEND[Cliente / Empresa],'INDICADORES (A)'!B114,VEND[Mes
Cotizacion],'INDICADORES (A)'!$C$52)</f>
        <v>0</v>
      </c>
      <c r="D114" s="37">
        <f>COUNTIFS(VEND[Cliente / Empresa],'INDICADORES (A)'!B114,VEND[Mes
Cotizacion],'INDICADORES (A)'!$D$52)</f>
        <v>0</v>
      </c>
      <c r="E114" s="37">
        <f>COUNTIFS(VEND[Cliente / Empresa],'INDICADORES (A)'!B114,VEND[Mes
Cotizacion],'INDICADORES (A)'!$E$52)</f>
        <v>0</v>
      </c>
      <c r="F114" s="37">
        <f>COUNTIFS(VEND[Cliente / Empresa],'INDICADORES (A)'!B114,VEND[Mes
Cotizacion],'INDICADORES (A)'!$F$52)</f>
        <v>5</v>
      </c>
      <c r="G114" s="37">
        <f>COUNTIFS(VEND[Cliente / Empresa],'INDICADORES (A)'!B114,VEND[Mes
Cotizacion],'INDICADORES (A)'!$G$52)</f>
        <v>1</v>
      </c>
      <c r="H114" s="37">
        <f>COUNTIFS(VEND[Cliente / Empresa],'INDICADORES (A)'!B114,VEND[Mes
Cotizacion],'INDICADORES (A)'!$H$52)</f>
        <v>3</v>
      </c>
      <c r="I114" s="37">
        <f>COUNTIFS(VEND[Cliente / Empresa],'INDICADORES (A)'!B114,VEND[Mes
Cotizacion],'INDICADORES (A)'!$I$52)</f>
        <v>0</v>
      </c>
      <c r="J114" s="37">
        <f>COUNTIFS(VEND[Cliente / Empresa],'INDICADORES (A)'!B114,VEND[Mes
Cotizacion],'INDICADORES (A)'!$J$52)</f>
        <v>0</v>
      </c>
      <c r="K114" s="37">
        <f>COUNTIFS(VEND[Cliente / Empresa],'INDICADORES (A)'!B114,VEND[Mes
Cotizacion],'INDICADORES (A)'!$K$52)</f>
        <v>0</v>
      </c>
      <c r="L114" s="37">
        <f>COUNTIFS(VEND[Cliente / Empresa],'INDICADORES (A)'!B114,VEND[Mes
Cotizacion],'INDICADORES (A)'!$L$52)</f>
        <v>0</v>
      </c>
      <c r="M114" s="37">
        <f>COUNTIFS(VEND[Cliente / Empresa],'INDICADORES (A)'!B114,VEND[Mes
Cotizacion],'INDICADORES (A)'!$M$52)</f>
        <v>0</v>
      </c>
      <c r="N114" s="110">
        <f>COUNTIFS(VEND[Cliente / Empresa],'INDICADORES (A)'!B114,VEND[Mes
Cotizacion],'INDICADORES (A)'!$N$52)</f>
        <v>0</v>
      </c>
      <c r="O114" s="103">
        <f t="shared" si="4"/>
        <v>9</v>
      </c>
    </row>
    <row r="115" spans="1:15" hidden="1" x14ac:dyDescent="0.25">
      <c r="A115" s="209" t="s">
        <v>155</v>
      </c>
      <c r="B115" s="95" t="s">
        <v>90</v>
      </c>
      <c r="C115" s="37">
        <f>COUNTIFS(VEND[Cliente / Empresa],'INDICADORES (A)'!B115,VEND[Mes
Cotizacion],'INDICADORES (A)'!$C$52)</f>
        <v>0</v>
      </c>
      <c r="D115" s="37">
        <f>COUNTIFS(VEND[Cliente / Empresa],'INDICADORES (A)'!B115,VEND[Mes
Cotizacion],'INDICADORES (A)'!$D$52)</f>
        <v>0</v>
      </c>
      <c r="E115" s="37">
        <f>COUNTIFS(VEND[Cliente / Empresa],'INDICADORES (A)'!B115,VEND[Mes
Cotizacion],'INDICADORES (A)'!$E$52)</f>
        <v>6</v>
      </c>
      <c r="F115" s="37">
        <f>COUNTIFS(VEND[Cliente / Empresa],'INDICADORES (A)'!B115,VEND[Mes
Cotizacion],'INDICADORES (A)'!$F$52)</f>
        <v>8</v>
      </c>
      <c r="G115" s="37">
        <f>COUNTIFS(VEND[Cliente / Empresa],'INDICADORES (A)'!B115,VEND[Mes
Cotizacion],'INDICADORES (A)'!$G$52)</f>
        <v>0</v>
      </c>
      <c r="H115" s="37">
        <f>COUNTIFS(VEND[Cliente / Empresa],'INDICADORES (A)'!B115,VEND[Mes
Cotizacion],'INDICADORES (A)'!$H$52)</f>
        <v>0</v>
      </c>
      <c r="I115" s="37">
        <f>COUNTIFS(VEND[Cliente / Empresa],'INDICADORES (A)'!B115,VEND[Mes
Cotizacion],'INDICADORES (A)'!$I$52)</f>
        <v>0</v>
      </c>
      <c r="J115" s="37">
        <f>COUNTIFS(VEND[Cliente / Empresa],'INDICADORES (A)'!B115,VEND[Mes
Cotizacion],'INDICADORES (A)'!$J$52)</f>
        <v>0</v>
      </c>
      <c r="K115" s="37">
        <f>COUNTIFS(VEND[Cliente / Empresa],'INDICADORES (A)'!B115,VEND[Mes
Cotizacion],'INDICADORES (A)'!$K$52)</f>
        <v>0</v>
      </c>
      <c r="L115" s="37">
        <f>COUNTIFS(VEND[Cliente / Empresa],'INDICADORES (A)'!B115,VEND[Mes
Cotizacion],'INDICADORES (A)'!$L$52)</f>
        <v>0</v>
      </c>
      <c r="M115" s="37">
        <f>COUNTIFS(VEND[Cliente / Empresa],'INDICADORES (A)'!B115,VEND[Mes
Cotizacion],'INDICADORES (A)'!$M$52)</f>
        <v>0</v>
      </c>
      <c r="N115" s="110">
        <f>COUNTIFS(VEND[Cliente / Empresa],'INDICADORES (A)'!B115,VEND[Mes
Cotizacion],'INDICADORES (A)'!$N$52)</f>
        <v>0</v>
      </c>
      <c r="O115" s="103">
        <f t="shared" si="4"/>
        <v>14</v>
      </c>
    </row>
    <row r="116" spans="1:15" x14ac:dyDescent="0.25">
      <c r="A116" s="209" t="s">
        <v>41</v>
      </c>
      <c r="B116" s="95" t="s">
        <v>76</v>
      </c>
      <c r="C116" s="37">
        <f>COUNTIFS(VEND[Cliente / Empresa],'INDICADORES (A)'!B116,VEND[Mes
Cotizacion],'INDICADORES (A)'!$C$52)</f>
        <v>0</v>
      </c>
      <c r="D116" s="37">
        <f>COUNTIFS(VEND[Cliente / Empresa],'INDICADORES (A)'!B116,VEND[Mes
Cotizacion],'INDICADORES (A)'!$D$52)</f>
        <v>2</v>
      </c>
      <c r="E116" s="37">
        <f>COUNTIFS(VEND[Cliente / Empresa],'INDICADORES (A)'!B116,VEND[Mes
Cotizacion],'INDICADORES (A)'!$E$52)</f>
        <v>9</v>
      </c>
      <c r="F116" s="37">
        <f>COUNTIFS(VEND[Cliente / Empresa],'INDICADORES (A)'!B116,VEND[Mes
Cotizacion],'INDICADORES (A)'!$F$52)</f>
        <v>6</v>
      </c>
      <c r="G116" s="37">
        <f>COUNTIFS(VEND[Cliente / Empresa],'INDICADORES (A)'!B116,VEND[Mes
Cotizacion],'INDICADORES (A)'!$G$52)</f>
        <v>3</v>
      </c>
      <c r="H116" s="37">
        <f>COUNTIFS(VEND[Cliente / Empresa],'INDICADORES (A)'!B116,VEND[Mes
Cotizacion],'INDICADORES (A)'!$H$52)</f>
        <v>12</v>
      </c>
      <c r="I116" s="37">
        <f>COUNTIFS(VEND[Cliente / Empresa],'INDICADORES (A)'!B116,VEND[Mes
Cotizacion],'INDICADORES (A)'!$I$52)</f>
        <v>0</v>
      </c>
      <c r="J116" s="37">
        <f>COUNTIFS(VEND[Cliente / Empresa],'INDICADORES (A)'!B116,VEND[Mes
Cotizacion],'INDICADORES (A)'!$J$52)</f>
        <v>0</v>
      </c>
      <c r="K116" s="37">
        <f>COUNTIFS(VEND[Cliente / Empresa],'INDICADORES (A)'!B116,VEND[Mes
Cotizacion],'INDICADORES (A)'!$K$52)</f>
        <v>0</v>
      </c>
      <c r="L116" s="37">
        <f>COUNTIFS(VEND[Cliente / Empresa],'INDICADORES (A)'!B116,VEND[Mes
Cotizacion],'INDICADORES (A)'!$L$52)</f>
        <v>0</v>
      </c>
      <c r="M116" s="37">
        <f>COUNTIFS(VEND[Cliente / Empresa],'INDICADORES (A)'!B116,VEND[Mes
Cotizacion],'INDICADORES (A)'!$M$52)</f>
        <v>0</v>
      </c>
      <c r="N116" s="110">
        <f>COUNTIFS(VEND[Cliente / Empresa],'INDICADORES (A)'!B116,VEND[Mes
Cotizacion],'INDICADORES (A)'!$N$52)</f>
        <v>0</v>
      </c>
      <c r="O116" s="103">
        <f t="shared" si="4"/>
        <v>32</v>
      </c>
    </row>
    <row r="117" spans="1:15" hidden="1" x14ac:dyDescent="0.25">
      <c r="A117" s="209" t="s">
        <v>50</v>
      </c>
      <c r="B117" s="95" t="s">
        <v>1500</v>
      </c>
      <c r="C117" s="37">
        <f>COUNTIFS(VEND[Cliente / Empresa],'INDICADORES (A)'!B117,VEND[Mes
Cotizacion],'INDICADORES (A)'!$C$52)</f>
        <v>0</v>
      </c>
      <c r="D117" s="37">
        <f>COUNTIFS(VEND[Cliente / Empresa],'INDICADORES (A)'!B117,VEND[Mes
Cotizacion],'INDICADORES (A)'!$D$52)</f>
        <v>0</v>
      </c>
      <c r="E117" s="37">
        <f>COUNTIFS(VEND[Cliente / Empresa],'INDICADORES (A)'!B117,VEND[Mes
Cotizacion],'INDICADORES (A)'!$E$52)</f>
        <v>0</v>
      </c>
      <c r="F117" s="37">
        <f>COUNTIFS(VEND[Cliente / Empresa],'INDICADORES (A)'!B117,VEND[Mes
Cotizacion],'INDICADORES (A)'!$F$52)</f>
        <v>0</v>
      </c>
      <c r="G117" s="37">
        <f>COUNTIFS(VEND[Cliente / Empresa],'INDICADORES (A)'!B117,VEND[Mes
Cotizacion],'INDICADORES (A)'!$G$52)</f>
        <v>1</v>
      </c>
      <c r="H117" s="37">
        <f>COUNTIFS(VEND[Cliente / Empresa],'INDICADORES (A)'!B117,VEND[Mes
Cotizacion],'INDICADORES (A)'!$H$52)</f>
        <v>0</v>
      </c>
      <c r="I117" s="37">
        <f>COUNTIFS(VEND[Cliente / Empresa],'INDICADORES (A)'!B117,VEND[Mes
Cotizacion],'INDICADORES (A)'!$I$52)</f>
        <v>0</v>
      </c>
      <c r="J117" s="37">
        <f>COUNTIFS(VEND[Cliente / Empresa],'INDICADORES (A)'!B117,VEND[Mes
Cotizacion],'INDICADORES (A)'!$J$52)</f>
        <v>0</v>
      </c>
      <c r="K117" s="37">
        <f>COUNTIFS(VEND[Cliente / Empresa],'INDICADORES (A)'!B117,VEND[Mes
Cotizacion],'INDICADORES (A)'!$K$52)</f>
        <v>0</v>
      </c>
      <c r="L117" s="37">
        <f>COUNTIFS(VEND[Cliente / Empresa],'INDICADORES (A)'!B117,VEND[Mes
Cotizacion],'INDICADORES (A)'!$L$52)</f>
        <v>0</v>
      </c>
      <c r="M117" s="37">
        <f>COUNTIFS(VEND[Cliente / Empresa],'INDICADORES (A)'!B117,VEND[Mes
Cotizacion],'INDICADORES (A)'!$M$52)</f>
        <v>0</v>
      </c>
      <c r="N117" s="110">
        <f>COUNTIFS(VEND[Cliente / Empresa],'INDICADORES (A)'!B117,VEND[Mes
Cotizacion],'INDICADORES (A)'!$N$52)</f>
        <v>0</v>
      </c>
      <c r="O117" s="103">
        <f t="shared" si="4"/>
        <v>1</v>
      </c>
    </row>
    <row r="118" spans="1:15" hidden="1" x14ac:dyDescent="0.25">
      <c r="B118" s="95" t="s">
        <v>89</v>
      </c>
      <c r="C118" s="37">
        <f>COUNTIFS(VEND[Cliente / Empresa],'INDICADORES (A)'!B118,VEND[Mes
Cotizacion],'INDICADORES (A)'!$C$52)</f>
        <v>0</v>
      </c>
      <c r="D118" s="37">
        <f>COUNTIFS(VEND[Cliente / Empresa],'INDICADORES (A)'!B118,VEND[Mes
Cotizacion],'INDICADORES (A)'!$D$52)</f>
        <v>0</v>
      </c>
      <c r="E118" s="37">
        <f>COUNTIFS(VEND[Cliente / Empresa],'INDICADORES (A)'!B118,VEND[Mes
Cotizacion],'INDICADORES (A)'!$E$52)</f>
        <v>1</v>
      </c>
      <c r="F118" s="37">
        <f>COUNTIFS(VEND[Cliente / Empresa],'INDICADORES (A)'!B118,VEND[Mes
Cotizacion],'INDICADORES (A)'!$F$52)</f>
        <v>0</v>
      </c>
      <c r="G118" s="37">
        <f>COUNTIFS(VEND[Cliente / Empresa],'INDICADORES (A)'!B118,VEND[Mes
Cotizacion],'INDICADORES (A)'!$G$52)</f>
        <v>0</v>
      </c>
      <c r="H118" s="37">
        <f>COUNTIFS(VEND[Cliente / Empresa],'INDICADORES (A)'!B118,VEND[Mes
Cotizacion],'INDICADORES (A)'!$H$52)</f>
        <v>0</v>
      </c>
      <c r="I118" s="37">
        <f>COUNTIFS(VEND[Cliente / Empresa],'INDICADORES (A)'!B118,VEND[Mes
Cotizacion],'INDICADORES (A)'!$I$52)</f>
        <v>0</v>
      </c>
      <c r="J118" s="37">
        <f>COUNTIFS(VEND[Cliente / Empresa],'INDICADORES (A)'!B118,VEND[Mes
Cotizacion],'INDICADORES (A)'!$J$52)</f>
        <v>0</v>
      </c>
      <c r="K118" s="37">
        <f>COUNTIFS(VEND[Cliente / Empresa],'INDICADORES (A)'!B118,VEND[Mes
Cotizacion],'INDICADORES (A)'!$K$52)</f>
        <v>0</v>
      </c>
      <c r="L118" s="37">
        <f>COUNTIFS(VEND[Cliente / Empresa],'INDICADORES (A)'!B118,VEND[Mes
Cotizacion],'INDICADORES (A)'!$L$52)</f>
        <v>0</v>
      </c>
      <c r="M118" s="37">
        <f>COUNTIFS(VEND[Cliente / Empresa],'INDICADORES (A)'!B118,VEND[Mes
Cotizacion],'INDICADORES (A)'!$M$52)</f>
        <v>0</v>
      </c>
      <c r="N118" s="110">
        <f>COUNTIFS(VEND[Cliente / Empresa],'INDICADORES (A)'!B118,VEND[Mes
Cotizacion],'INDICADORES (A)'!$N$52)</f>
        <v>0</v>
      </c>
      <c r="O118" s="103">
        <f t="shared" si="4"/>
        <v>1</v>
      </c>
    </row>
    <row r="119" spans="1:15" hidden="1" x14ac:dyDescent="0.25">
      <c r="B119" s="95" t="s">
        <v>100</v>
      </c>
      <c r="C119" s="37">
        <f>COUNTIFS(VEND[Cliente / Empresa],'INDICADORES (A)'!B119,VEND[Mes
Cotizacion],'INDICADORES (A)'!$C$52)</f>
        <v>0</v>
      </c>
      <c r="D119" s="37">
        <f>COUNTIFS(VEND[Cliente / Empresa],'INDICADORES (A)'!B119,VEND[Mes
Cotizacion],'INDICADORES (A)'!$D$52)</f>
        <v>0</v>
      </c>
      <c r="E119" s="37">
        <f>COUNTIFS(VEND[Cliente / Empresa],'INDICADORES (A)'!B119,VEND[Mes
Cotizacion],'INDICADORES (A)'!$E$52)</f>
        <v>1</v>
      </c>
      <c r="F119" s="37">
        <f>COUNTIFS(VEND[Cliente / Empresa],'INDICADORES (A)'!B119,VEND[Mes
Cotizacion],'INDICADORES (A)'!$F$52)</f>
        <v>0</v>
      </c>
      <c r="G119" s="37">
        <f>COUNTIFS(VEND[Cliente / Empresa],'INDICADORES (A)'!B119,VEND[Mes
Cotizacion],'INDICADORES (A)'!$G$52)</f>
        <v>0</v>
      </c>
      <c r="H119" s="37">
        <f>COUNTIFS(VEND[Cliente / Empresa],'INDICADORES (A)'!B119,VEND[Mes
Cotizacion],'INDICADORES (A)'!$H$52)</f>
        <v>0</v>
      </c>
      <c r="I119" s="37">
        <f>COUNTIFS(VEND[Cliente / Empresa],'INDICADORES (A)'!B119,VEND[Mes
Cotizacion],'INDICADORES (A)'!$I$52)</f>
        <v>0</v>
      </c>
      <c r="J119" s="37">
        <f>COUNTIFS(VEND[Cliente / Empresa],'INDICADORES (A)'!B119,VEND[Mes
Cotizacion],'INDICADORES (A)'!$J$52)</f>
        <v>0</v>
      </c>
      <c r="K119" s="37">
        <f>COUNTIFS(VEND[Cliente / Empresa],'INDICADORES (A)'!B119,VEND[Mes
Cotizacion],'INDICADORES (A)'!$K$52)</f>
        <v>0</v>
      </c>
      <c r="L119" s="37">
        <f>COUNTIFS(VEND[Cliente / Empresa],'INDICADORES (A)'!B119,VEND[Mes
Cotizacion],'INDICADORES (A)'!$L$52)</f>
        <v>0</v>
      </c>
      <c r="M119" s="37">
        <f>COUNTIFS(VEND[Cliente / Empresa],'INDICADORES (A)'!B119,VEND[Mes
Cotizacion],'INDICADORES (A)'!$M$52)</f>
        <v>0</v>
      </c>
      <c r="N119" s="110">
        <f>COUNTIFS(VEND[Cliente / Empresa],'INDICADORES (A)'!B119,VEND[Mes
Cotizacion],'INDICADORES (A)'!$N$52)</f>
        <v>0</v>
      </c>
      <c r="O119" s="103">
        <f t="shared" ref="O119:O139" si="8">SUM(C119:N119)</f>
        <v>1</v>
      </c>
    </row>
    <row r="120" spans="1:15" s="105" customFormat="1" hidden="1" x14ac:dyDescent="0.25">
      <c r="A120" s="209" t="s">
        <v>68</v>
      </c>
      <c r="B120" s="95" t="s">
        <v>173</v>
      </c>
      <c r="C120" s="37">
        <f>COUNTIFS(VEND[Cliente / Empresa],'INDICADORES (A)'!B120,VEND[Mes
Cotizacion],'INDICADORES (A)'!$C$52)</f>
        <v>0</v>
      </c>
      <c r="D120" s="37">
        <f>COUNTIFS(VEND[Cliente / Empresa],'INDICADORES (A)'!B120,VEND[Mes
Cotizacion],'INDICADORES (A)'!$D$52)</f>
        <v>0</v>
      </c>
      <c r="E120" s="37">
        <f>COUNTIFS(VEND[Cliente / Empresa],'INDICADORES (A)'!B120,VEND[Mes
Cotizacion],'INDICADORES (A)'!$E$52)</f>
        <v>0</v>
      </c>
      <c r="F120" s="37">
        <f>COUNTIFS(VEND[Cliente / Empresa],'INDICADORES (A)'!B120,VEND[Mes
Cotizacion],'INDICADORES (A)'!$F$52)</f>
        <v>0</v>
      </c>
      <c r="G120" s="37">
        <f>COUNTIFS(VEND[Cliente / Empresa],'INDICADORES (A)'!B120,VEND[Mes
Cotizacion],'INDICADORES (A)'!$G$52)</f>
        <v>0</v>
      </c>
      <c r="H120" s="37">
        <f>COUNTIFS(VEND[Cliente / Empresa],'INDICADORES (A)'!B120,VEND[Mes
Cotizacion],'INDICADORES (A)'!$H$52)</f>
        <v>0</v>
      </c>
      <c r="I120" s="37">
        <f>COUNTIFS(VEND[Cliente / Empresa],'INDICADORES (A)'!B120,VEND[Mes
Cotizacion],'INDICADORES (A)'!$I$52)</f>
        <v>0</v>
      </c>
      <c r="J120" s="37">
        <f>COUNTIFS(VEND[Cliente / Empresa],'INDICADORES (A)'!B120,VEND[Mes
Cotizacion],'INDICADORES (A)'!$J$52)</f>
        <v>0</v>
      </c>
      <c r="K120" s="37">
        <f>COUNTIFS(VEND[Cliente / Empresa],'INDICADORES (A)'!B120,VEND[Mes
Cotizacion],'INDICADORES (A)'!$K$52)</f>
        <v>0</v>
      </c>
      <c r="L120" s="37">
        <f>COUNTIFS(VEND[Cliente / Empresa],'INDICADORES (A)'!B120,VEND[Mes
Cotizacion],'INDICADORES (A)'!$L$52)</f>
        <v>0</v>
      </c>
      <c r="M120" s="37">
        <f>COUNTIFS(VEND[Cliente / Empresa],'INDICADORES (A)'!B120,VEND[Mes
Cotizacion],'INDICADORES (A)'!$M$52)</f>
        <v>0</v>
      </c>
      <c r="N120" s="110">
        <f>COUNTIFS(VEND[Cliente / Empresa],'INDICADORES (A)'!B120,VEND[Mes
Cotizacion],'INDICADORES (A)'!$N$52)</f>
        <v>0</v>
      </c>
      <c r="O120" s="103">
        <f t="shared" ref="O120" si="9">SUM(C120:N120)</f>
        <v>0</v>
      </c>
    </row>
    <row r="121" spans="1:15" hidden="1" x14ac:dyDescent="0.25">
      <c r="A121" s="209" t="s">
        <v>155</v>
      </c>
      <c r="B121" s="95" t="s">
        <v>1476</v>
      </c>
      <c r="C121" s="37">
        <f>COUNTIFS(VEND[Cliente / Empresa],'INDICADORES (A)'!B121,VEND[Mes
Cotizacion],'INDICADORES (A)'!$C$52)</f>
        <v>0</v>
      </c>
      <c r="D121" s="37">
        <f>COUNTIFS(VEND[Cliente / Empresa],'INDICADORES (A)'!B121,VEND[Mes
Cotizacion],'INDICADORES (A)'!$D$52)</f>
        <v>0</v>
      </c>
      <c r="E121" s="37">
        <f>COUNTIFS(VEND[Cliente / Empresa],'INDICADORES (A)'!B121,VEND[Mes
Cotizacion],'INDICADORES (A)'!$E$52)</f>
        <v>0</v>
      </c>
      <c r="F121" s="37">
        <f>COUNTIFS(VEND[Cliente / Empresa],'INDICADORES (A)'!B121,VEND[Mes
Cotizacion],'INDICADORES (A)'!$F$52)</f>
        <v>0</v>
      </c>
      <c r="G121" s="37">
        <f>COUNTIFS(VEND[Cliente / Empresa],'INDICADORES (A)'!B121,VEND[Mes
Cotizacion],'INDICADORES (A)'!$G$52)</f>
        <v>1</v>
      </c>
      <c r="H121" s="37">
        <f>COUNTIFS(VEND[Cliente / Empresa],'INDICADORES (A)'!B121,VEND[Mes
Cotizacion],'INDICADORES (A)'!$H$52)</f>
        <v>2</v>
      </c>
      <c r="I121" s="37">
        <f>COUNTIFS(VEND[Cliente / Empresa],'INDICADORES (A)'!B121,VEND[Mes
Cotizacion],'INDICADORES (A)'!$I$52)</f>
        <v>0</v>
      </c>
      <c r="J121" s="37">
        <f>COUNTIFS(VEND[Cliente / Empresa],'INDICADORES (A)'!B121,VEND[Mes
Cotizacion],'INDICADORES (A)'!$J$52)</f>
        <v>0</v>
      </c>
      <c r="K121" s="37">
        <f>COUNTIFS(VEND[Cliente / Empresa],'INDICADORES (A)'!B121,VEND[Mes
Cotizacion],'INDICADORES (A)'!$K$52)</f>
        <v>0</v>
      </c>
      <c r="L121" s="37">
        <f>COUNTIFS(VEND[Cliente / Empresa],'INDICADORES (A)'!B121,VEND[Mes
Cotizacion],'INDICADORES (A)'!$L$52)</f>
        <v>0</v>
      </c>
      <c r="M121" s="37">
        <f>COUNTIFS(VEND[Cliente / Empresa],'INDICADORES (A)'!B121,VEND[Mes
Cotizacion],'INDICADORES (A)'!$M$52)</f>
        <v>0</v>
      </c>
      <c r="N121" s="110">
        <f>COUNTIFS(VEND[Cliente / Empresa],'INDICADORES (A)'!B121,VEND[Mes
Cotizacion],'INDICADORES (A)'!$N$52)</f>
        <v>0</v>
      </c>
      <c r="O121" s="103">
        <f t="shared" si="8"/>
        <v>3</v>
      </c>
    </row>
    <row r="122" spans="1:15" hidden="1" x14ac:dyDescent="0.25">
      <c r="A122" s="209" t="s">
        <v>155</v>
      </c>
      <c r="B122" s="95" t="s">
        <v>28</v>
      </c>
      <c r="C122" s="37">
        <f>COUNTIFS(VEND[Cliente / Empresa],'INDICADORES (A)'!B122,VEND[Mes
Cotizacion],'INDICADORES (A)'!$C$52)</f>
        <v>0</v>
      </c>
      <c r="D122" s="37">
        <f>COUNTIFS(VEND[Cliente / Empresa],'INDICADORES (A)'!B122,VEND[Mes
Cotizacion],'INDICADORES (A)'!$D$52)</f>
        <v>0</v>
      </c>
      <c r="E122" s="37">
        <f>COUNTIFS(VEND[Cliente / Empresa],'INDICADORES (A)'!B122,VEND[Mes
Cotizacion],'INDICADORES (A)'!$E$52)</f>
        <v>2</v>
      </c>
      <c r="F122" s="37">
        <f>COUNTIFS(VEND[Cliente / Empresa],'INDICADORES (A)'!B122,VEND[Mes
Cotizacion],'INDICADORES (A)'!$F$52)</f>
        <v>0</v>
      </c>
      <c r="G122" s="37">
        <f>COUNTIFS(VEND[Cliente / Empresa],'INDICADORES (A)'!B122,VEND[Mes
Cotizacion],'INDICADORES (A)'!$G$52)</f>
        <v>1</v>
      </c>
      <c r="H122" s="37">
        <f>COUNTIFS(VEND[Cliente / Empresa],'INDICADORES (A)'!B122,VEND[Mes
Cotizacion],'INDICADORES (A)'!$H$52)</f>
        <v>0</v>
      </c>
      <c r="I122" s="37">
        <f>COUNTIFS(VEND[Cliente / Empresa],'INDICADORES (A)'!B122,VEND[Mes
Cotizacion],'INDICADORES (A)'!$I$52)</f>
        <v>0</v>
      </c>
      <c r="J122" s="37">
        <f>COUNTIFS(VEND[Cliente / Empresa],'INDICADORES (A)'!B122,VEND[Mes
Cotizacion],'INDICADORES (A)'!$J$52)</f>
        <v>0</v>
      </c>
      <c r="K122" s="37">
        <f>COUNTIFS(VEND[Cliente / Empresa],'INDICADORES (A)'!B122,VEND[Mes
Cotizacion],'INDICADORES (A)'!$K$52)</f>
        <v>0</v>
      </c>
      <c r="L122" s="37">
        <f>COUNTIFS(VEND[Cliente / Empresa],'INDICADORES (A)'!B122,VEND[Mes
Cotizacion],'INDICADORES (A)'!$L$52)</f>
        <v>0</v>
      </c>
      <c r="M122" s="37">
        <f>COUNTIFS(VEND[Cliente / Empresa],'INDICADORES (A)'!B122,VEND[Mes
Cotizacion],'INDICADORES (A)'!$M$52)</f>
        <v>0</v>
      </c>
      <c r="N122" s="110">
        <f>COUNTIFS(VEND[Cliente / Empresa],'INDICADORES (A)'!B122,VEND[Mes
Cotizacion],'INDICADORES (A)'!$N$52)</f>
        <v>0</v>
      </c>
      <c r="O122" s="103">
        <f t="shared" si="8"/>
        <v>3</v>
      </c>
    </row>
    <row r="123" spans="1:15" hidden="1" x14ac:dyDescent="0.25">
      <c r="B123" s="95" t="s">
        <v>95</v>
      </c>
      <c r="C123" s="37">
        <f>COUNTIFS(VEND[Cliente / Empresa],'INDICADORES (A)'!B123,VEND[Mes
Cotizacion],'INDICADORES (A)'!$C$52)</f>
        <v>0</v>
      </c>
      <c r="D123" s="37">
        <f>COUNTIFS(VEND[Cliente / Empresa],'INDICADORES (A)'!B123,VEND[Mes
Cotizacion],'INDICADORES (A)'!$D$52)</f>
        <v>0</v>
      </c>
      <c r="E123" s="37">
        <f>COUNTIFS(VEND[Cliente / Empresa],'INDICADORES (A)'!B123,VEND[Mes
Cotizacion],'INDICADORES (A)'!$E$52)</f>
        <v>1</v>
      </c>
      <c r="F123" s="37">
        <f>COUNTIFS(VEND[Cliente / Empresa],'INDICADORES (A)'!B123,VEND[Mes
Cotizacion],'INDICADORES (A)'!$F$52)</f>
        <v>0</v>
      </c>
      <c r="G123" s="37">
        <f>COUNTIFS(VEND[Cliente / Empresa],'INDICADORES (A)'!B123,VEND[Mes
Cotizacion],'INDICADORES (A)'!$G$52)</f>
        <v>0</v>
      </c>
      <c r="H123" s="37">
        <f>COUNTIFS(VEND[Cliente / Empresa],'INDICADORES (A)'!B123,VEND[Mes
Cotizacion],'INDICADORES (A)'!$H$52)</f>
        <v>0</v>
      </c>
      <c r="I123" s="37">
        <f>COUNTIFS(VEND[Cliente / Empresa],'INDICADORES (A)'!B123,VEND[Mes
Cotizacion],'INDICADORES (A)'!$I$52)</f>
        <v>0</v>
      </c>
      <c r="J123" s="37">
        <f>COUNTIFS(VEND[Cliente / Empresa],'INDICADORES (A)'!B123,VEND[Mes
Cotizacion],'INDICADORES (A)'!$J$52)</f>
        <v>0</v>
      </c>
      <c r="K123" s="37">
        <f>COUNTIFS(VEND[Cliente / Empresa],'INDICADORES (A)'!B123,VEND[Mes
Cotizacion],'INDICADORES (A)'!$K$52)</f>
        <v>0</v>
      </c>
      <c r="L123" s="37">
        <f>COUNTIFS(VEND[Cliente / Empresa],'INDICADORES (A)'!B123,VEND[Mes
Cotizacion],'INDICADORES (A)'!$L$52)</f>
        <v>0</v>
      </c>
      <c r="M123" s="37">
        <f>COUNTIFS(VEND[Cliente / Empresa],'INDICADORES (A)'!B123,VEND[Mes
Cotizacion],'INDICADORES (A)'!$M$52)</f>
        <v>0</v>
      </c>
      <c r="N123" s="110">
        <f>COUNTIFS(VEND[Cliente / Empresa],'INDICADORES (A)'!B123,VEND[Mes
Cotizacion],'INDICADORES (A)'!$N$52)</f>
        <v>0</v>
      </c>
      <c r="O123" s="103">
        <f t="shared" si="8"/>
        <v>1</v>
      </c>
    </row>
    <row r="124" spans="1:15" hidden="1" x14ac:dyDescent="0.25">
      <c r="A124" s="209" t="s">
        <v>155</v>
      </c>
      <c r="B124" s="95" t="s">
        <v>59</v>
      </c>
      <c r="C124" s="37">
        <f>COUNTIFS(VEND[Cliente / Empresa],'INDICADORES (A)'!B124,VEND[Mes
Cotizacion],'INDICADORES (A)'!$C$52)</f>
        <v>0</v>
      </c>
      <c r="D124" s="37">
        <f>COUNTIFS(VEND[Cliente / Empresa],'INDICADORES (A)'!B124,VEND[Mes
Cotizacion],'INDICADORES (A)'!$D$52)</f>
        <v>0</v>
      </c>
      <c r="E124" s="37">
        <f>COUNTIFS(VEND[Cliente / Empresa],'INDICADORES (A)'!B124,VEND[Mes
Cotizacion],'INDICADORES (A)'!$E$52)</f>
        <v>1</v>
      </c>
      <c r="F124" s="37">
        <f>COUNTIFS(VEND[Cliente / Empresa],'INDICADORES (A)'!B124,VEND[Mes
Cotizacion],'INDICADORES (A)'!$F$52)</f>
        <v>0</v>
      </c>
      <c r="G124" s="37">
        <f>COUNTIFS(VEND[Cliente / Empresa],'INDICADORES (A)'!B124,VEND[Mes
Cotizacion],'INDICADORES (A)'!$G$52)</f>
        <v>0</v>
      </c>
      <c r="H124" s="37">
        <f>COUNTIFS(VEND[Cliente / Empresa],'INDICADORES (A)'!B124,VEND[Mes
Cotizacion],'INDICADORES (A)'!$H$52)</f>
        <v>1</v>
      </c>
      <c r="I124" s="37">
        <f>COUNTIFS(VEND[Cliente / Empresa],'INDICADORES (A)'!B124,VEND[Mes
Cotizacion],'INDICADORES (A)'!$I$52)</f>
        <v>0</v>
      </c>
      <c r="J124" s="37">
        <f>COUNTIFS(VEND[Cliente / Empresa],'INDICADORES (A)'!B124,VEND[Mes
Cotizacion],'INDICADORES (A)'!$J$52)</f>
        <v>0</v>
      </c>
      <c r="K124" s="37">
        <f>COUNTIFS(VEND[Cliente / Empresa],'INDICADORES (A)'!B124,VEND[Mes
Cotizacion],'INDICADORES (A)'!$K$52)</f>
        <v>0</v>
      </c>
      <c r="L124" s="37">
        <f>COUNTIFS(VEND[Cliente / Empresa],'INDICADORES (A)'!B124,VEND[Mes
Cotizacion],'INDICADORES (A)'!$L$52)</f>
        <v>0</v>
      </c>
      <c r="M124" s="37">
        <f>COUNTIFS(VEND[Cliente / Empresa],'INDICADORES (A)'!B124,VEND[Mes
Cotizacion],'INDICADORES (A)'!$M$52)</f>
        <v>0</v>
      </c>
      <c r="N124" s="110">
        <f>COUNTIFS(VEND[Cliente / Empresa],'INDICADORES (A)'!B124,VEND[Mes
Cotizacion],'INDICADORES (A)'!$N$52)</f>
        <v>0</v>
      </c>
      <c r="O124" s="103">
        <f t="shared" si="8"/>
        <v>2</v>
      </c>
    </row>
    <row r="125" spans="1:15" hidden="1" x14ac:dyDescent="0.25">
      <c r="A125" s="209" t="s">
        <v>1163</v>
      </c>
      <c r="B125" s="95" t="s">
        <v>1241</v>
      </c>
      <c r="C125" s="37">
        <f>COUNTIFS(VEND[Cliente / Empresa],'INDICADORES (A)'!B125,VEND[Mes
Cotizacion],'INDICADORES (A)'!$C$52)</f>
        <v>12</v>
      </c>
      <c r="D125" s="37">
        <f>COUNTIFS(VEND[Cliente / Empresa],'INDICADORES (A)'!B125,VEND[Mes
Cotizacion],'INDICADORES (A)'!$D$52)</f>
        <v>15</v>
      </c>
      <c r="E125" s="37">
        <f>COUNTIFS(VEND[Cliente / Empresa],'INDICADORES (A)'!B125,VEND[Mes
Cotizacion],'INDICADORES (A)'!$E$52)</f>
        <v>23</v>
      </c>
      <c r="F125" s="37">
        <f>COUNTIFS(VEND[Cliente / Empresa],'INDICADORES (A)'!B125,VEND[Mes
Cotizacion],'INDICADORES (A)'!$F$52)</f>
        <v>48</v>
      </c>
      <c r="G125" s="37">
        <f>COUNTIFS(VEND[Cliente / Empresa],'INDICADORES (A)'!B125,VEND[Mes
Cotizacion],'INDICADORES (A)'!$G$52)</f>
        <v>55</v>
      </c>
      <c r="H125" s="37">
        <f>COUNTIFS(VEND[Cliente / Empresa],'INDICADORES (A)'!B125,VEND[Mes
Cotizacion],'INDICADORES (A)'!$H$52)</f>
        <v>35</v>
      </c>
      <c r="I125" s="37">
        <f>COUNTIFS(VEND[Cliente / Empresa],'INDICADORES (A)'!B125,VEND[Mes
Cotizacion],'INDICADORES (A)'!$I$52)</f>
        <v>0</v>
      </c>
      <c r="J125" s="37">
        <f>COUNTIFS(VEND[Cliente / Empresa],'INDICADORES (A)'!B125,VEND[Mes
Cotizacion],'INDICADORES (A)'!$J$52)</f>
        <v>0</v>
      </c>
      <c r="K125" s="37">
        <f>COUNTIFS(VEND[Cliente / Empresa],'INDICADORES (A)'!B125,VEND[Mes
Cotizacion],'INDICADORES (A)'!$K$52)</f>
        <v>0</v>
      </c>
      <c r="L125" s="37">
        <f>COUNTIFS(VEND[Cliente / Empresa],'INDICADORES (A)'!B125,VEND[Mes
Cotizacion],'INDICADORES (A)'!$L$52)</f>
        <v>0</v>
      </c>
      <c r="M125" s="37">
        <f>COUNTIFS(VEND[Cliente / Empresa],'INDICADORES (A)'!B125,VEND[Mes
Cotizacion],'INDICADORES (A)'!$M$52)</f>
        <v>0</v>
      </c>
      <c r="N125" s="110">
        <f>COUNTIFS(VEND[Cliente / Empresa],'INDICADORES (A)'!B125,VEND[Mes
Cotizacion],'INDICADORES (A)'!$N$52)</f>
        <v>0</v>
      </c>
      <c r="O125" s="103">
        <f t="shared" si="8"/>
        <v>188</v>
      </c>
    </row>
    <row r="126" spans="1:15" hidden="1" x14ac:dyDescent="0.25">
      <c r="B126" s="95" t="s">
        <v>78</v>
      </c>
      <c r="C126" s="37">
        <f>COUNTIFS(VEND[Cliente / Empresa],'INDICADORES (A)'!B126,VEND[Mes
Cotizacion],'INDICADORES (A)'!$C$52)</f>
        <v>0</v>
      </c>
      <c r="D126" s="37">
        <f>COUNTIFS(VEND[Cliente / Empresa],'INDICADORES (A)'!B126,VEND[Mes
Cotizacion],'INDICADORES (A)'!$D$52)</f>
        <v>0</v>
      </c>
      <c r="E126" s="37">
        <f>COUNTIFS(VEND[Cliente / Empresa],'INDICADORES (A)'!B126,VEND[Mes
Cotizacion],'INDICADORES (A)'!$E$52)</f>
        <v>1</v>
      </c>
      <c r="F126" s="37">
        <f>COUNTIFS(VEND[Cliente / Empresa],'INDICADORES (A)'!B126,VEND[Mes
Cotizacion],'INDICADORES (A)'!$F$52)</f>
        <v>0</v>
      </c>
      <c r="G126" s="37">
        <f>COUNTIFS(VEND[Cliente / Empresa],'INDICADORES (A)'!B126,VEND[Mes
Cotizacion],'INDICADORES (A)'!$G$52)</f>
        <v>0</v>
      </c>
      <c r="H126" s="37">
        <f>COUNTIFS(VEND[Cliente / Empresa],'INDICADORES (A)'!B126,VEND[Mes
Cotizacion],'INDICADORES (A)'!$H$52)</f>
        <v>0</v>
      </c>
      <c r="I126" s="37">
        <f>COUNTIFS(VEND[Cliente / Empresa],'INDICADORES (A)'!B126,VEND[Mes
Cotizacion],'INDICADORES (A)'!$I$52)</f>
        <v>0</v>
      </c>
      <c r="J126" s="37">
        <f>COUNTIFS(VEND[Cliente / Empresa],'INDICADORES (A)'!B126,VEND[Mes
Cotizacion],'INDICADORES (A)'!$J$52)</f>
        <v>0</v>
      </c>
      <c r="K126" s="37">
        <f>COUNTIFS(VEND[Cliente / Empresa],'INDICADORES (A)'!B126,VEND[Mes
Cotizacion],'INDICADORES (A)'!$K$52)</f>
        <v>0</v>
      </c>
      <c r="L126" s="37">
        <f>COUNTIFS(VEND[Cliente / Empresa],'INDICADORES (A)'!B126,VEND[Mes
Cotizacion],'INDICADORES (A)'!$L$52)</f>
        <v>0</v>
      </c>
      <c r="M126" s="37">
        <f>COUNTIFS(VEND[Cliente / Empresa],'INDICADORES (A)'!B126,VEND[Mes
Cotizacion],'INDICADORES (A)'!$M$52)</f>
        <v>0</v>
      </c>
      <c r="N126" s="110">
        <f>COUNTIFS(VEND[Cliente / Empresa],'INDICADORES (A)'!B126,VEND[Mes
Cotizacion],'INDICADORES (A)'!$N$52)</f>
        <v>0</v>
      </c>
      <c r="O126" s="103">
        <f t="shared" si="8"/>
        <v>1</v>
      </c>
    </row>
    <row r="127" spans="1:15" hidden="1" x14ac:dyDescent="0.25">
      <c r="B127" s="95" t="s">
        <v>26</v>
      </c>
      <c r="C127" s="37">
        <f>COUNTIFS(VEND[Cliente / Empresa],'INDICADORES (A)'!B127,VEND[Mes
Cotizacion],'INDICADORES (A)'!$C$52)</f>
        <v>0</v>
      </c>
      <c r="D127" s="37">
        <f>COUNTIFS(VEND[Cliente / Empresa],'INDICADORES (A)'!B127,VEND[Mes
Cotizacion],'INDICADORES (A)'!$D$52)</f>
        <v>0</v>
      </c>
      <c r="E127" s="37">
        <f>COUNTIFS(VEND[Cliente / Empresa],'INDICADORES (A)'!B127,VEND[Mes
Cotizacion],'INDICADORES (A)'!$E$52)</f>
        <v>1</v>
      </c>
      <c r="F127" s="37">
        <f>COUNTIFS(VEND[Cliente / Empresa],'INDICADORES (A)'!B127,VEND[Mes
Cotizacion],'INDICADORES (A)'!$F$52)</f>
        <v>0</v>
      </c>
      <c r="G127" s="37">
        <f>COUNTIFS(VEND[Cliente / Empresa],'INDICADORES (A)'!B127,VEND[Mes
Cotizacion],'INDICADORES (A)'!$G$52)</f>
        <v>0</v>
      </c>
      <c r="H127" s="37">
        <f>COUNTIFS(VEND[Cliente / Empresa],'INDICADORES (A)'!B127,VEND[Mes
Cotizacion],'INDICADORES (A)'!$H$52)</f>
        <v>0</v>
      </c>
      <c r="I127" s="37">
        <f>COUNTIFS(VEND[Cliente / Empresa],'INDICADORES (A)'!B127,VEND[Mes
Cotizacion],'INDICADORES (A)'!$I$52)</f>
        <v>0</v>
      </c>
      <c r="J127" s="37">
        <f>COUNTIFS(VEND[Cliente / Empresa],'INDICADORES (A)'!B127,VEND[Mes
Cotizacion],'INDICADORES (A)'!$J$52)</f>
        <v>0</v>
      </c>
      <c r="K127" s="37">
        <f>COUNTIFS(VEND[Cliente / Empresa],'INDICADORES (A)'!B127,VEND[Mes
Cotizacion],'INDICADORES (A)'!$K$52)</f>
        <v>0</v>
      </c>
      <c r="L127" s="37">
        <f>COUNTIFS(VEND[Cliente / Empresa],'INDICADORES (A)'!B127,VEND[Mes
Cotizacion],'INDICADORES (A)'!$L$52)</f>
        <v>0</v>
      </c>
      <c r="M127" s="37">
        <f>COUNTIFS(VEND[Cliente / Empresa],'INDICADORES (A)'!B127,VEND[Mes
Cotizacion],'INDICADORES (A)'!$M$52)</f>
        <v>0</v>
      </c>
      <c r="N127" s="110">
        <f>COUNTIFS(VEND[Cliente / Empresa],'INDICADORES (A)'!B127,VEND[Mes
Cotizacion],'INDICADORES (A)'!$N$52)</f>
        <v>0</v>
      </c>
      <c r="O127" s="103">
        <f t="shared" si="8"/>
        <v>1</v>
      </c>
    </row>
    <row r="128" spans="1:15" hidden="1" x14ac:dyDescent="0.25">
      <c r="A128" s="209" t="s">
        <v>50</v>
      </c>
      <c r="B128" s="95" t="s">
        <v>1786</v>
      </c>
      <c r="C128" s="37">
        <f>COUNTIFS(VEND[Cliente / Empresa],'INDICADORES (A)'!B128,VEND[Mes
Cotizacion],'INDICADORES (A)'!$C$52)</f>
        <v>0</v>
      </c>
      <c r="D128" s="37">
        <f>COUNTIFS(VEND[Cliente / Empresa],'INDICADORES (A)'!B128,VEND[Mes
Cotizacion],'INDICADORES (A)'!$D$52)</f>
        <v>0</v>
      </c>
      <c r="E128" s="37">
        <f>COUNTIFS(VEND[Cliente / Empresa],'INDICADORES (A)'!B128,VEND[Mes
Cotizacion],'INDICADORES (A)'!$E$52)</f>
        <v>0</v>
      </c>
      <c r="F128" s="37">
        <f>COUNTIFS(VEND[Cliente / Empresa],'INDICADORES (A)'!B128,VEND[Mes
Cotizacion],'INDICADORES (A)'!$F$52)</f>
        <v>0</v>
      </c>
      <c r="G128" s="37">
        <f>COUNTIFS(VEND[Cliente / Empresa],'INDICADORES (A)'!B128,VEND[Mes
Cotizacion],'INDICADORES (A)'!$G$52)</f>
        <v>1</v>
      </c>
      <c r="H128" s="37">
        <f>COUNTIFS(VEND[Cliente / Empresa],'INDICADORES (A)'!B128,VEND[Mes
Cotizacion],'INDICADORES (A)'!$H$52)</f>
        <v>1</v>
      </c>
      <c r="I128" s="37">
        <f>COUNTIFS(VEND[Cliente / Empresa],'INDICADORES (A)'!B128,VEND[Mes
Cotizacion],'INDICADORES (A)'!$I$52)</f>
        <v>0</v>
      </c>
      <c r="J128" s="37">
        <f>COUNTIFS(VEND[Cliente / Empresa],'INDICADORES (A)'!B128,VEND[Mes
Cotizacion],'INDICADORES (A)'!$J$52)</f>
        <v>0</v>
      </c>
      <c r="K128" s="37">
        <f>COUNTIFS(VEND[Cliente / Empresa],'INDICADORES (A)'!B128,VEND[Mes
Cotizacion],'INDICADORES (A)'!$K$52)</f>
        <v>0</v>
      </c>
      <c r="L128" s="37">
        <f>COUNTIFS(VEND[Cliente / Empresa],'INDICADORES (A)'!B128,VEND[Mes
Cotizacion],'INDICADORES (A)'!$L$52)</f>
        <v>0</v>
      </c>
      <c r="M128" s="37">
        <f>COUNTIFS(VEND[Cliente / Empresa],'INDICADORES (A)'!B128,VEND[Mes
Cotizacion],'INDICADORES (A)'!$M$52)</f>
        <v>0</v>
      </c>
      <c r="N128" s="110">
        <f>COUNTIFS(VEND[Cliente / Empresa],'INDICADORES (A)'!B128,VEND[Mes
Cotizacion],'INDICADORES (A)'!$N$52)</f>
        <v>0</v>
      </c>
      <c r="O128" s="103">
        <f t="shared" si="8"/>
        <v>2</v>
      </c>
    </row>
    <row r="129" spans="1:15" hidden="1" x14ac:dyDescent="0.25">
      <c r="B129" s="95" t="s">
        <v>97</v>
      </c>
      <c r="C129" s="37">
        <f>COUNTIFS(VEND[Cliente / Empresa],'INDICADORES (A)'!B129,VEND[Mes
Cotizacion],'INDICADORES (A)'!$C$52)</f>
        <v>0</v>
      </c>
      <c r="D129" s="37">
        <f>COUNTIFS(VEND[Cliente / Empresa],'INDICADORES (A)'!B129,VEND[Mes
Cotizacion],'INDICADORES (A)'!$D$52)</f>
        <v>0</v>
      </c>
      <c r="E129" s="37">
        <f>COUNTIFS(VEND[Cliente / Empresa],'INDICADORES (A)'!B129,VEND[Mes
Cotizacion],'INDICADORES (A)'!$E$52)</f>
        <v>2</v>
      </c>
      <c r="F129" s="37">
        <f>COUNTIFS(VEND[Cliente / Empresa],'INDICADORES (A)'!B129,VEND[Mes
Cotizacion],'INDICADORES (A)'!$F$52)</f>
        <v>0</v>
      </c>
      <c r="G129" s="37">
        <f>COUNTIFS(VEND[Cliente / Empresa],'INDICADORES (A)'!B129,VEND[Mes
Cotizacion],'INDICADORES (A)'!$G$52)</f>
        <v>0</v>
      </c>
      <c r="H129" s="37">
        <f>COUNTIFS(VEND[Cliente / Empresa],'INDICADORES (A)'!B129,VEND[Mes
Cotizacion],'INDICADORES (A)'!$H$52)</f>
        <v>0</v>
      </c>
      <c r="I129" s="37">
        <f>COUNTIFS(VEND[Cliente / Empresa],'INDICADORES (A)'!B129,VEND[Mes
Cotizacion],'INDICADORES (A)'!$I$52)</f>
        <v>0</v>
      </c>
      <c r="J129" s="37">
        <f>COUNTIFS(VEND[Cliente / Empresa],'INDICADORES (A)'!B129,VEND[Mes
Cotizacion],'INDICADORES (A)'!$J$52)</f>
        <v>0</v>
      </c>
      <c r="K129" s="37">
        <f>COUNTIFS(VEND[Cliente / Empresa],'INDICADORES (A)'!B129,VEND[Mes
Cotizacion],'INDICADORES (A)'!$K$52)</f>
        <v>0</v>
      </c>
      <c r="L129" s="37">
        <f>COUNTIFS(VEND[Cliente / Empresa],'INDICADORES (A)'!B129,VEND[Mes
Cotizacion],'INDICADORES (A)'!$L$52)</f>
        <v>0</v>
      </c>
      <c r="M129" s="37">
        <f>COUNTIFS(VEND[Cliente / Empresa],'INDICADORES (A)'!B129,VEND[Mes
Cotizacion],'INDICADORES (A)'!$M$52)</f>
        <v>0</v>
      </c>
      <c r="N129" s="110">
        <f>COUNTIFS(VEND[Cliente / Empresa],'INDICADORES (A)'!B129,VEND[Mes
Cotizacion],'INDICADORES (A)'!$N$52)</f>
        <v>0</v>
      </c>
      <c r="O129" s="103">
        <f t="shared" si="8"/>
        <v>2</v>
      </c>
    </row>
    <row r="130" spans="1:15" hidden="1" x14ac:dyDescent="0.25">
      <c r="A130" s="209" t="s">
        <v>155</v>
      </c>
      <c r="B130" s="95" t="s">
        <v>424</v>
      </c>
      <c r="C130" s="37">
        <f>COUNTIFS(VEND[Cliente / Empresa],'INDICADORES (A)'!B130,VEND[Mes
Cotizacion],'INDICADORES (A)'!$C$52)</f>
        <v>0</v>
      </c>
      <c r="D130" s="37">
        <f>COUNTIFS(VEND[Cliente / Empresa],'INDICADORES (A)'!B130,VEND[Mes
Cotizacion],'INDICADORES (A)'!$D$52)</f>
        <v>1</v>
      </c>
      <c r="E130" s="37">
        <f>COUNTIFS(VEND[Cliente / Empresa],'INDICADORES (A)'!B130,VEND[Mes
Cotizacion],'INDICADORES (A)'!$E$52)</f>
        <v>5</v>
      </c>
      <c r="F130" s="37">
        <f>COUNTIFS(VEND[Cliente / Empresa],'INDICADORES (A)'!B130,VEND[Mes
Cotizacion],'INDICADORES (A)'!$F$52)</f>
        <v>1</v>
      </c>
      <c r="G130" s="37">
        <f>COUNTIFS(VEND[Cliente / Empresa],'INDICADORES (A)'!B130,VEND[Mes
Cotizacion],'INDICADORES (A)'!$G$52)</f>
        <v>4</v>
      </c>
      <c r="H130" s="37">
        <f>COUNTIFS(VEND[Cliente / Empresa],'INDICADORES (A)'!B130,VEND[Mes
Cotizacion],'INDICADORES (A)'!$H$52)</f>
        <v>3</v>
      </c>
      <c r="I130" s="37">
        <f>COUNTIFS(VEND[Cliente / Empresa],'INDICADORES (A)'!B130,VEND[Mes
Cotizacion],'INDICADORES (A)'!$I$52)</f>
        <v>0</v>
      </c>
      <c r="J130" s="37">
        <f>COUNTIFS(VEND[Cliente / Empresa],'INDICADORES (A)'!B130,VEND[Mes
Cotizacion],'INDICADORES (A)'!$J$52)</f>
        <v>0</v>
      </c>
      <c r="K130" s="37">
        <f>COUNTIFS(VEND[Cliente / Empresa],'INDICADORES (A)'!B130,VEND[Mes
Cotizacion],'INDICADORES (A)'!$K$52)</f>
        <v>0</v>
      </c>
      <c r="L130" s="37">
        <f>COUNTIFS(VEND[Cliente / Empresa],'INDICADORES (A)'!B130,VEND[Mes
Cotizacion],'INDICADORES (A)'!$L$52)</f>
        <v>0</v>
      </c>
      <c r="M130" s="37">
        <f>COUNTIFS(VEND[Cliente / Empresa],'INDICADORES (A)'!B130,VEND[Mes
Cotizacion],'INDICADORES (A)'!$M$52)</f>
        <v>0</v>
      </c>
      <c r="N130" s="110">
        <f>COUNTIFS(VEND[Cliente / Empresa],'INDICADORES (A)'!B130,VEND[Mes
Cotizacion],'INDICADORES (A)'!$N$52)</f>
        <v>0</v>
      </c>
      <c r="O130" s="103">
        <f t="shared" si="8"/>
        <v>14</v>
      </c>
    </row>
    <row r="131" spans="1:15" hidden="1" x14ac:dyDescent="0.25">
      <c r="A131" s="209" t="s">
        <v>155</v>
      </c>
      <c r="B131" s="95" t="s">
        <v>14</v>
      </c>
      <c r="C131" s="37">
        <f>COUNTIFS(VEND[Cliente / Empresa],'INDICADORES (A)'!B131,VEND[Mes
Cotizacion],'INDICADORES (A)'!$C$52)</f>
        <v>0</v>
      </c>
      <c r="D131" s="37">
        <f>COUNTIFS(VEND[Cliente / Empresa],'INDICADORES (A)'!B131,VEND[Mes
Cotizacion],'INDICADORES (A)'!$D$52)</f>
        <v>0</v>
      </c>
      <c r="E131" s="37">
        <f>COUNTIFS(VEND[Cliente / Empresa],'INDICADORES (A)'!B131,VEND[Mes
Cotizacion],'INDICADORES (A)'!$E$52)</f>
        <v>5</v>
      </c>
      <c r="F131" s="37">
        <f>COUNTIFS(VEND[Cliente / Empresa],'INDICADORES (A)'!B131,VEND[Mes
Cotizacion],'INDICADORES (A)'!$F$52)</f>
        <v>2</v>
      </c>
      <c r="G131" s="37">
        <f>COUNTIFS(VEND[Cliente / Empresa],'INDICADORES (A)'!B131,VEND[Mes
Cotizacion],'INDICADORES (A)'!$G$52)</f>
        <v>0</v>
      </c>
      <c r="H131" s="37">
        <f>COUNTIFS(VEND[Cliente / Empresa],'INDICADORES (A)'!B131,VEND[Mes
Cotizacion],'INDICADORES (A)'!$H$52)</f>
        <v>1</v>
      </c>
      <c r="I131" s="37">
        <f>COUNTIFS(VEND[Cliente / Empresa],'INDICADORES (A)'!B131,VEND[Mes
Cotizacion],'INDICADORES (A)'!$I$52)</f>
        <v>0</v>
      </c>
      <c r="J131" s="37">
        <f>COUNTIFS(VEND[Cliente / Empresa],'INDICADORES (A)'!B131,VEND[Mes
Cotizacion],'INDICADORES (A)'!$J$52)</f>
        <v>0</v>
      </c>
      <c r="K131" s="37">
        <f>COUNTIFS(VEND[Cliente / Empresa],'INDICADORES (A)'!B131,VEND[Mes
Cotizacion],'INDICADORES (A)'!$K$52)</f>
        <v>0</v>
      </c>
      <c r="L131" s="37">
        <f>COUNTIFS(VEND[Cliente / Empresa],'INDICADORES (A)'!B131,VEND[Mes
Cotizacion],'INDICADORES (A)'!$L$52)</f>
        <v>0</v>
      </c>
      <c r="M131" s="37">
        <f>COUNTIFS(VEND[Cliente / Empresa],'INDICADORES (A)'!B131,VEND[Mes
Cotizacion],'INDICADORES (A)'!$M$52)</f>
        <v>0</v>
      </c>
      <c r="N131" s="110">
        <f>COUNTIFS(VEND[Cliente / Empresa],'INDICADORES (A)'!B131,VEND[Mes
Cotizacion],'INDICADORES (A)'!$N$52)</f>
        <v>0</v>
      </c>
      <c r="O131" s="103">
        <f t="shared" si="8"/>
        <v>8</v>
      </c>
    </row>
    <row r="132" spans="1:15" hidden="1" x14ac:dyDescent="0.25">
      <c r="A132" s="209" t="s">
        <v>68</v>
      </c>
      <c r="B132" s="95" t="s">
        <v>91</v>
      </c>
      <c r="C132" s="37">
        <f>COUNTIFS(VEND[Cliente / Empresa],'INDICADORES (A)'!B132,VEND[Mes
Cotizacion],'INDICADORES (A)'!$C$52)</f>
        <v>0</v>
      </c>
      <c r="D132" s="37">
        <f>COUNTIFS(VEND[Cliente / Empresa],'INDICADORES (A)'!B132,VEND[Mes
Cotizacion],'INDICADORES (A)'!$D$52)</f>
        <v>0</v>
      </c>
      <c r="E132" s="37">
        <f>COUNTIFS(VEND[Cliente / Empresa],'INDICADORES (A)'!B132,VEND[Mes
Cotizacion],'INDICADORES (A)'!$E$52)</f>
        <v>2</v>
      </c>
      <c r="F132" s="37">
        <f>COUNTIFS(VEND[Cliente / Empresa],'INDICADORES (A)'!B132,VEND[Mes
Cotizacion],'INDICADORES (A)'!$F$52)</f>
        <v>3</v>
      </c>
      <c r="G132" s="37">
        <f>COUNTIFS(VEND[Cliente / Empresa],'INDICADORES (A)'!B132,VEND[Mes
Cotizacion],'INDICADORES (A)'!$G$52)</f>
        <v>2</v>
      </c>
      <c r="H132" s="37">
        <f>COUNTIFS(VEND[Cliente / Empresa],'INDICADORES (A)'!B132,VEND[Mes
Cotizacion],'INDICADORES (A)'!$H$52)</f>
        <v>4</v>
      </c>
      <c r="I132" s="37">
        <f>COUNTIFS(VEND[Cliente / Empresa],'INDICADORES (A)'!B132,VEND[Mes
Cotizacion],'INDICADORES (A)'!$I$52)</f>
        <v>0</v>
      </c>
      <c r="J132" s="37">
        <f>COUNTIFS(VEND[Cliente / Empresa],'INDICADORES (A)'!B132,VEND[Mes
Cotizacion],'INDICADORES (A)'!$J$52)</f>
        <v>0</v>
      </c>
      <c r="K132" s="37">
        <f>COUNTIFS(VEND[Cliente / Empresa],'INDICADORES (A)'!B132,VEND[Mes
Cotizacion],'INDICADORES (A)'!$K$52)</f>
        <v>0</v>
      </c>
      <c r="L132" s="37">
        <f>COUNTIFS(VEND[Cliente / Empresa],'INDICADORES (A)'!B132,VEND[Mes
Cotizacion],'INDICADORES (A)'!$L$52)</f>
        <v>0</v>
      </c>
      <c r="M132" s="37">
        <f>COUNTIFS(VEND[Cliente / Empresa],'INDICADORES (A)'!B132,VEND[Mes
Cotizacion],'INDICADORES (A)'!$M$52)</f>
        <v>0</v>
      </c>
      <c r="N132" s="110">
        <f>COUNTIFS(VEND[Cliente / Empresa],'INDICADORES (A)'!B132,VEND[Mes
Cotizacion],'INDICADORES (A)'!$N$52)</f>
        <v>0</v>
      </c>
      <c r="O132" s="103">
        <f t="shared" si="8"/>
        <v>11</v>
      </c>
    </row>
    <row r="133" spans="1:15" hidden="1" x14ac:dyDescent="0.25">
      <c r="B133" s="95" t="s">
        <v>52</v>
      </c>
      <c r="C133" s="37">
        <f>COUNTIFS(VEND[Cliente / Empresa],'INDICADORES (A)'!B133,VEND[Mes
Cotizacion],'INDICADORES (A)'!$C$52)</f>
        <v>0</v>
      </c>
      <c r="D133" s="37">
        <f>COUNTIFS(VEND[Cliente / Empresa],'INDICADORES (A)'!B133,VEND[Mes
Cotizacion],'INDICADORES (A)'!$D$52)</f>
        <v>0</v>
      </c>
      <c r="E133" s="37">
        <f>COUNTIFS(VEND[Cliente / Empresa],'INDICADORES (A)'!B133,VEND[Mes
Cotizacion],'INDICADORES (A)'!$E$52)</f>
        <v>1</v>
      </c>
      <c r="F133" s="37">
        <f>COUNTIFS(VEND[Cliente / Empresa],'INDICADORES (A)'!B133,VEND[Mes
Cotizacion],'INDICADORES (A)'!$F$52)</f>
        <v>0</v>
      </c>
      <c r="G133" s="37">
        <f>COUNTIFS(VEND[Cliente / Empresa],'INDICADORES (A)'!B133,VEND[Mes
Cotizacion],'INDICADORES (A)'!$G$52)</f>
        <v>0</v>
      </c>
      <c r="H133" s="37">
        <f>COUNTIFS(VEND[Cliente / Empresa],'INDICADORES (A)'!B133,VEND[Mes
Cotizacion],'INDICADORES (A)'!$H$52)</f>
        <v>0</v>
      </c>
      <c r="I133" s="37">
        <f>COUNTIFS(VEND[Cliente / Empresa],'INDICADORES (A)'!B133,VEND[Mes
Cotizacion],'INDICADORES (A)'!$I$52)</f>
        <v>0</v>
      </c>
      <c r="J133" s="37">
        <f>COUNTIFS(VEND[Cliente / Empresa],'INDICADORES (A)'!B133,VEND[Mes
Cotizacion],'INDICADORES (A)'!$J$52)</f>
        <v>0</v>
      </c>
      <c r="K133" s="37">
        <f>COUNTIFS(VEND[Cliente / Empresa],'INDICADORES (A)'!B133,VEND[Mes
Cotizacion],'INDICADORES (A)'!$K$52)</f>
        <v>0</v>
      </c>
      <c r="L133" s="37">
        <f>COUNTIFS(VEND[Cliente / Empresa],'INDICADORES (A)'!B133,VEND[Mes
Cotizacion],'INDICADORES (A)'!$L$52)</f>
        <v>0</v>
      </c>
      <c r="M133" s="37">
        <f>COUNTIFS(VEND[Cliente / Empresa],'INDICADORES (A)'!B133,VEND[Mes
Cotizacion],'INDICADORES (A)'!$M$52)</f>
        <v>0</v>
      </c>
      <c r="N133" s="110">
        <f>COUNTIFS(VEND[Cliente / Empresa],'INDICADORES (A)'!B133,VEND[Mes
Cotizacion],'INDICADORES (A)'!$N$52)</f>
        <v>0</v>
      </c>
      <c r="O133" s="103">
        <f t="shared" si="8"/>
        <v>1</v>
      </c>
    </row>
    <row r="134" spans="1:15" hidden="1" x14ac:dyDescent="0.25">
      <c r="A134" s="209" t="s">
        <v>68</v>
      </c>
      <c r="B134" s="95" t="s">
        <v>55</v>
      </c>
      <c r="C134" s="37">
        <f>COUNTIFS(VEND[Cliente / Empresa],'INDICADORES (A)'!B134,VEND[Mes
Cotizacion],'INDICADORES (A)'!$C$52)</f>
        <v>0</v>
      </c>
      <c r="D134" s="37">
        <f>COUNTIFS(VEND[Cliente / Empresa],'INDICADORES (A)'!B134,VEND[Mes
Cotizacion],'INDICADORES (A)'!$D$52)</f>
        <v>0</v>
      </c>
      <c r="E134" s="37">
        <f>COUNTIFS(VEND[Cliente / Empresa],'INDICADORES (A)'!B134,VEND[Mes
Cotizacion],'INDICADORES (A)'!$E$52)</f>
        <v>1</v>
      </c>
      <c r="F134" s="37">
        <f>COUNTIFS(VEND[Cliente / Empresa],'INDICADORES (A)'!B134,VEND[Mes
Cotizacion],'INDICADORES (A)'!$F$52)</f>
        <v>1</v>
      </c>
      <c r="G134" s="37">
        <f>COUNTIFS(VEND[Cliente / Empresa],'INDICADORES (A)'!B134,VEND[Mes
Cotizacion],'INDICADORES (A)'!$G$52)</f>
        <v>2</v>
      </c>
      <c r="H134" s="37">
        <f>COUNTIFS(VEND[Cliente / Empresa],'INDICADORES (A)'!B134,VEND[Mes
Cotizacion],'INDICADORES (A)'!$H$52)</f>
        <v>0</v>
      </c>
      <c r="I134" s="37">
        <f>COUNTIFS(VEND[Cliente / Empresa],'INDICADORES (A)'!B134,VEND[Mes
Cotizacion],'INDICADORES (A)'!$I$52)</f>
        <v>0</v>
      </c>
      <c r="J134" s="37">
        <f>COUNTIFS(VEND[Cliente / Empresa],'INDICADORES (A)'!B134,VEND[Mes
Cotizacion],'INDICADORES (A)'!$J$52)</f>
        <v>0</v>
      </c>
      <c r="K134" s="37">
        <f>COUNTIFS(VEND[Cliente / Empresa],'INDICADORES (A)'!B134,VEND[Mes
Cotizacion],'INDICADORES (A)'!$K$52)</f>
        <v>0</v>
      </c>
      <c r="L134" s="37">
        <f>COUNTIFS(VEND[Cliente / Empresa],'INDICADORES (A)'!B134,VEND[Mes
Cotizacion],'INDICADORES (A)'!$L$52)</f>
        <v>0</v>
      </c>
      <c r="M134" s="37">
        <f>COUNTIFS(VEND[Cliente / Empresa],'INDICADORES (A)'!B134,VEND[Mes
Cotizacion],'INDICADORES (A)'!$M$52)</f>
        <v>0</v>
      </c>
      <c r="N134" s="110">
        <f>COUNTIFS(VEND[Cliente / Empresa],'INDICADORES (A)'!B134,VEND[Mes
Cotizacion],'INDICADORES (A)'!$N$52)</f>
        <v>0</v>
      </c>
      <c r="O134" s="103">
        <f t="shared" si="8"/>
        <v>4</v>
      </c>
    </row>
    <row r="135" spans="1:15" hidden="1" x14ac:dyDescent="0.25">
      <c r="A135" s="209" t="s">
        <v>155</v>
      </c>
      <c r="B135" s="95" t="s">
        <v>1546</v>
      </c>
      <c r="C135" s="37">
        <f>COUNTIFS(VEND[Cliente / Empresa],'INDICADORES (A)'!B135,VEND[Mes
Cotizacion],'INDICADORES (A)'!$C$52)</f>
        <v>0</v>
      </c>
      <c r="D135" s="37">
        <f>COUNTIFS(VEND[Cliente / Empresa],'INDICADORES (A)'!B135,VEND[Mes
Cotizacion],'INDICADORES (A)'!$D$52)</f>
        <v>0</v>
      </c>
      <c r="E135" s="37">
        <f>COUNTIFS(VEND[Cliente / Empresa],'INDICADORES (A)'!B135,VEND[Mes
Cotizacion],'INDICADORES (A)'!$E$52)</f>
        <v>0</v>
      </c>
      <c r="F135" s="37">
        <f>COUNTIFS(VEND[Cliente / Empresa],'INDICADORES (A)'!B135,VEND[Mes
Cotizacion],'INDICADORES (A)'!$F$52)</f>
        <v>0</v>
      </c>
      <c r="G135" s="37">
        <f>COUNTIFS(VEND[Cliente / Empresa],'INDICADORES (A)'!B135,VEND[Mes
Cotizacion],'INDICADORES (A)'!$G$52)</f>
        <v>4</v>
      </c>
      <c r="H135" s="37">
        <f>COUNTIFS(VEND[Cliente / Empresa],'INDICADORES (A)'!B135,VEND[Mes
Cotizacion],'INDICADORES (A)'!$H$52)</f>
        <v>3</v>
      </c>
      <c r="I135" s="37">
        <f>COUNTIFS(VEND[Cliente / Empresa],'INDICADORES (A)'!B135,VEND[Mes
Cotizacion],'INDICADORES (A)'!$I$52)</f>
        <v>0</v>
      </c>
      <c r="J135" s="37">
        <f>COUNTIFS(VEND[Cliente / Empresa],'INDICADORES (A)'!B135,VEND[Mes
Cotizacion],'INDICADORES (A)'!$J$52)</f>
        <v>0</v>
      </c>
      <c r="K135" s="37">
        <f>COUNTIFS(VEND[Cliente / Empresa],'INDICADORES (A)'!B135,VEND[Mes
Cotizacion],'INDICADORES (A)'!$K$52)</f>
        <v>0</v>
      </c>
      <c r="L135" s="37">
        <f>COUNTIFS(VEND[Cliente / Empresa],'INDICADORES (A)'!B135,VEND[Mes
Cotizacion],'INDICADORES (A)'!$L$52)</f>
        <v>0</v>
      </c>
      <c r="M135" s="37">
        <f>COUNTIFS(VEND[Cliente / Empresa],'INDICADORES (A)'!B135,VEND[Mes
Cotizacion],'INDICADORES (A)'!$M$52)</f>
        <v>0</v>
      </c>
      <c r="N135" s="110">
        <f>COUNTIFS(VEND[Cliente / Empresa],'INDICADORES (A)'!B135,VEND[Mes
Cotizacion],'INDICADORES (A)'!$N$52)</f>
        <v>0</v>
      </c>
      <c r="O135" s="103">
        <f t="shared" si="8"/>
        <v>7</v>
      </c>
    </row>
    <row r="136" spans="1:15" hidden="1" x14ac:dyDescent="0.25">
      <c r="A136" s="209" t="s">
        <v>50</v>
      </c>
      <c r="B136" s="95" t="s">
        <v>123</v>
      </c>
      <c r="C136" s="37">
        <f>COUNTIFS(VEND[Cliente / Empresa],'INDICADORES (A)'!B136,VEND[Mes
Cotizacion],'INDICADORES (A)'!$C$52)</f>
        <v>0</v>
      </c>
      <c r="D136" s="37">
        <f>COUNTIFS(VEND[Cliente / Empresa],'INDICADORES (A)'!B136,VEND[Mes
Cotizacion],'INDICADORES (A)'!$D$52)</f>
        <v>0</v>
      </c>
      <c r="E136" s="37">
        <f>COUNTIFS(VEND[Cliente / Empresa],'INDICADORES (A)'!B136,VEND[Mes
Cotizacion],'INDICADORES (A)'!$E$52)</f>
        <v>0</v>
      </c>
      <c r="F136" s="37">
        <f>COUNTIFS(VEND[Cliente / Empresa],'INDICADORES (A)'!B136,VEND[Mes
Cotizacion],'INDICADORES (A)'!$F$52)</f>
        <v>7</v>
      </c>
      <c r="G136" s="37">
        <f>COUNTIFS(VEND[Cliente / Empresa],'INDICADORES (A)'!B136,VEND[Mes
Cotizacion],'INDICADORES (A)'!$G$52)</f>
        <v>1</v>
      </c>
      <c r="H136" s="37">
        <f>COUNTIFS(VEND[Cliente / Empresa],'INDICADORES (A)'!B136,VEND[Mes
Cotizacion],'INDICADORES (A)'!$H$52)</f>
        <v>0</v>
      </c>
      <c r="I136" s="37">
        <f>COUNTIFS(VEND[Cliente / Empresa],'INDICADORES (A)'!B136,VEND[Mes
Cotizacion],'INDICADORES (A)'!$I$52)</f>
        <v>0</v>
      </c>
      <c r="J136" s="37">
        <f>COUNTIFS(VEND[Cliente / Empresa],'INDICADORES (A)'!B136,VEND[Mes
Cotizacion],'INDICADORES (A)'!$J$52)</f>
        <v>0</v>
      </c>
      <c r="K136" s="37">
        <f>COUNTIFS(VEND[Cliente / Empresa],'INDICADORES (A)'!B136,VEND[Mes
Cotizacion],'INDICADORES (A)'!$K$52)</f>
        <v>0</v>
      </c>
      <c r="L136" s="37">
        <f>COUNTIFS(VEND[Cliente / Empresa],'INDICADORES (A)'!B136,VEND[Mes
Cotizacion],'INDICADORES (A)'!$L$52)</f>
        <v>0</v>
      </c>
      <c r="M136" s="37">
        <f>COUNTIFS(VEND[Cliente / Empresa],'INDICADORES (A)'!B136,VEND[Mes
Cotizacion],'INDICADORES (A)'!$M$52)</f>
        <v>0</v>
      </c>
      <c r="N136" s="110">
        <f>COUNTIFS(VEND[Cliente / Empresa],'INDICADORES (A)'!B136,VEND[Mes
Cotizacion],'INDICADORES (A)'!$N$52)</f>
        <v>0</v>
      </c>
      <c r="O136" s="103">
        <f t="shared" si="8"/>
        <v>8</v>
      </c>
    </row>
    <row r="137" spans="1:15" hidden="1" x14ac:dyDescent="0.25">
      <c r="B137" s="95" t="s">
        <v>1073</v>
      </c>
      <c r="C137" s="37">
        <f>COUNTIFS(VEND[Cliente / Empresa],'INDICADORES (A)'!B137,VEND[Mes
Cotizacion],'INDICADORES (A)'!$C$52)</f>
        <v>0</v>
      </c>
      <c r="D137" s="37">
        <f>COUNTIFS(VEND[Cliente / Empresa],'INDICADORES (A)'!B137,VEND[Mes
Cotizacion],'INDICADORES (A)'!$D$52)</f>
        <v>1</v>
      </c>
      <c r="E137" s="37">
        <f>COUNTIFS(VEND[Cliente / Empresa],'INDICADORES (A)'!B137,VEND[Mes
Cotizacion],'INDICADORES (A)'!$E$52)</f>
        <v>0</v>
      </c>
      <c r="F137" s="37">
        <f>COUNTIFS(VEND[Cliente / Empresa],'INDICADORES (A)'!B137,VEND[Mes
Cotizacion],'INDICADORES (A)'!$F$52)</f>
        <v>0</v>
      </c>
      <c r="G137" s="37">
        <f>COUNTIFS(VEND[Cliente / Empresa],'INDICADORES (A)'!B137,VEND[Mes
Cotizacion],'INDICADORES (A)'!$G$52)</f>
        <v>0</v>
      </c>
      <c r="H137" s="37">
        <f>COUNTIFS(VEND[Cliente / Empresa],'INDICADORES (A)'!B137,VEND[Mes
Cotizacion],'INDICADORES (A)'!$H$52)</f>
        <v>0</v>
      </c>
      <c r="I137" s="37">
        <f>COUNTIFS(VEND[Cliente / Empresa],'INDICADORES (A)'!B137,VEND[Mes
Cotizacion],'INDICADORES (A)'!$I$52)</f>
        <v>0</v>
      </c>
      <c r="J137" s="37">
        <f>COUNTIFS(VEND[Cliente / Empresa],'INDICADORES (A)'!B137,VEND[Mes
Cotizacion],'INDICADORES (A)'!$J$52)</f>
        <v>0</v>
      </c>
      <c r="K137" s="37">
        <f>COUNTIFS(VEND[Cliente / Empresa],'INDICADORES (A)'!B137,VEND[Mes
Cotizacion],'INDICADORES (A)'!$K$52)</f>
        <v>0</v>
      </c>
      <c r="L137" s="37">
        <f>COUNTIFS(VEND[Cliente / Empresa],'INDICADORES (A)'!B137,VEND[Mes
Cotizacion],'INDICADORES (A)'!$L$52)</f>
        <v>0</v>
      </c>
      <c r="M137" s="37">
        <f>COUNTIFS(VEND[Cliente / Empresa],'INDICADORES (A)'!B137,VEND[Mes
Cotizacion],'INDICADORES (A)'!$M$52)</f>
        <v>0</v>
      </c>
      <c r="N137" s="110">
        <f>COUNTIFS(VEND[Cliente / Empresa],'INDICADORES (A)'!B137,VEND[Mes
Cotizacion],'INDICADORES (A)'!$N$52)</f>
        <v>0</v>
      </c>
      <c r="O137" s="103">
        <f t="shared" si="8"/>
        <v>1</v>
      </c>
    </row>
    <row r="138" spans="1:15" x14ac:dyDescent="0.25">
      <c r="A138" s="209" t="s">
        <v>41</v>
      </c>
      <c r="B138" s="95" t="s">
        <v>1683</v>
      </c>
      <c r="C138" s="37">
        <f>COUNTIFS(VEND[Cliente / Empresa],'INDICADORES (A)'!B138,VEND[Mes
Cotizacion],'INDICADORES (A)'!$C$52)</f>
        <v>0</v>
      </c>
      <c r="D138" s="37">
        <f>COUNTIFS(VEND[Cliente / Empresa],'INDICADORES (A)'!B138,VEND[Mes
Cotizacion],'INDICADORES (A)'!$D$52)</f>
        <v>0</v>
      </c>
      <c r="E138" s="37">
        <f>COUNTIFS(VEND[Cliente / Empresa],'INDICADORES (A)'!B138,VEND[Mes
Cotizacion],'INDICADORES (A)'!$E$52)</f>
        <v>0</v>
      </c>
      <c r="F138" s="37">
        <f>COUNTIFS(VEND[Cliente / Empresa],'INDICADORES (A)'!B138,VEND[Mes
Cotizacion],'INDICADORES (A)'!$F$52)</f>
        <v>0</v>
      </c>
      <c r="G138" s="37">
        <f>COUNTIFS(VEND[Cliente / Empresa],'INDICADORES (A)'!B138,VEND[Mes
Cotizacion],'INDICADORES (A)'!$G$52)</f>
        <v>1</v>
      </c>
      <c r="H138" s="37">
        <f>COUNTIFS(VEND[Cliente / Empresa],'INDICADORES (A)'!B138,VEND[Mes
Cotizacion],'INDICADORES (A)'!$H$52)</f>
        <v>0</v>
      </c>
      <c r="I138" s="37">
        <f>COUNTIFS(VEND[Cliente / Empresa],'INDICADORES (A)'!B138,VEND[Mes
Cotizacion],'INDICADORES (A)'!$I$52)</f>
        <v>0</v>
      </c>
      <c r="J138" s="37">
        <f>COUNTIFS(VEND[Cliente / Empresa],'INDICADORES (A)'!B138,VEND[Mes
Cotizacion],'INDICADORES (A)'!$J$52)</f>
        <v>0</v>
      </c>
      <c r="K138" s="37">
        <f>COUNTIFS(VEND[Cliente / Empresa],'INDICADORES (A)'!B138,VEND[Mes
Cotizacion],'INDICADORES (A)'!$K$52)</f>
        <v>0</v>
      </c>
      <c r="L138" s="37">
        <f>COUNTIFS(VEND[Cliente / Empresa],'INDICADORES (A)'!B138,VEND[Mes
Cotizacion],'INDICADORES (A)'!$L$52)</f>
        <v>0</v>
      </c>
      <c r="M138" s="37">
        <f>COUNTIFS(VEND[Cliente / Empresa],'INDICADORES (A)'!B138,VEND[Mes
Cotizacion],'INDICADORES (A)'!$M$52)</f>
        <v>0</v>
      </c>
      <c r="N138" s="110">
        <f>COUNTIFS(VEND[Cliente / Empresa],'INDICADORES (A)'!B138,VEND[Mes
Cotizacion],'INDICADORES (A)'!$N$52)</f>
        <v>0</v>
      </c>
      <c r="O138" s="103">
        <f t="shared" si="8"/>
        <v>1</v>
      </c>
    </row>
    <row r="139" spans="1:15" hidden="1" x14ac:dyDescent="0.25">
      <c r="B139" s="95" t="s">
        <v>61</v>
      </c>
      <c r="C139" s="37">
        <f>COUNTIFS(VEND[Cliente / Empresa],'INDICADORES (A)'!B139,VEND[Mes
Cotizacion],'INDICADORES (A)'!$C$52)</f>
        <v>0</v>
      </c>
      <c r="D139" s="37">
        <f>COUNTIFS(VEND[Cliente / Empresa],'INDICADORES (A)'!B139,VEND[Mes
Cotizacion],'INDICADORES (A)'!$D$52)</f>
        <v>0</v>
      </c>
      <c r="E139" s="37">
        <f>COUNTIFS(VEND[Cliente / Empresa],'INDICADORES (A)'!B139,VEND[Mes
Cotizacion],'INDICADORES (A)'!$E$52)</f>
        <v>2</v>
      </c>
      <c r="F139" s="37">
        <f>COUNTIFS(VEND[Cliente / Empresa],'INDICADORES (A)'!B139,VEND[Mes
Cotizacion],'INDICADORES (A)'!$F$52)</f>
        <v>0</v>
      </c>
      <c r="G139" s="37">
        <f>COUNTIFS(VEND[Cliente / Empresa],'INDICADORES (A)'!B139,VEND[Mes
Cotizacion],'INDICADORES (A)'!$G$52)</f>
        <v>0</v>
      </c>
      <c r="H139" s="37">
        <f>COUNTIFS(VEND[Cliente / Empresa],'INDICADORES (A)'!B139,VEND[Mes
Cotizacion],'INDICADORES (A)'!$H$52)</f>
        <v>0</v>
      </c>
      <c r="I139" s="37">
        <f>COUNTIFS(VEND[Cliente / Empresa],'INDICADORES (A)'!B139,VEND[Mes
Cotizacion],'INDICADORES (A)'!$I$52)</f>
        <v>0</v>
      </c>
      <c r="J139" s="37">
        <f>COUNTIFS(VEND[Cliente / Empresa],'INDICADORES (A)'!B139,VEND[Mes
Cotizacion],'INDICADORES (A)'!$J$52)</f>
        <v>0</v>
      </c>
      <c r="K139" s="37">
        <f>COUNTIFS(VEND[Cliente / Empresa],'INDICADORES (A)'!B139,VEND[Mes
Cotizacion],'INDICADORES (A)'!$K$52)</f>
        <v>0</v>
      </c>
      <c r="L139" s="37">
        <f>COUNTIFS(VEND[Cliente / Empresa],'INDICADORES (A)'!B139,VEND[Mes
Cotizacion],'INDICADORES (A)'!$L$52)</f>
        <v>0</v>
      </c>
      <c r="M139" s="37">
        <f>COUNTIFS(VEND[Cliente / Empresa],'INDICADORES (A)'!B139,VEND[Mes
Cotizacion],'INDICADORES (A)'!$M$52)</f>
        <v>0</v>
      </c>
      <c r="N139" s="110">
        <f>COUNTIFS(VEND[Cliente / Empresa],'INDICADORES (A)'!B139,VEND[Mes
Cotizacion],'INDICADORES (A)'!$N$52)</f>
        <v>0</v>
      </c>
      <c r="O139" s="103">
        <f t="shared" si="8"/>
        <v>2</v>
      </c>
    </row>
    <row r="140" spans="1:15" x14ac:dyDescent="0.25">
      <c r="G140" s="37"/>
      <c r="H140" s="37"/>
      <c r="I140" s="37"/>
      <c r="K140" s="37"/>
      <c r="L140" s="37"/>
      <c r="M140" s="37"/>
    </row>
    <row r="141" spans="1:15" x14ac:dyDescent="0.25">
      <c r="G141" s="37"/>
      <c r="H141" s="37"/>
      <c r="I141" s="37"/>
      <c r="K141" s="37"/>
      <c r="L141" s="37"/>
      <c r="M141" s="37"/>
    </row>
  </sheetData>
  <autoFilter ref="A52:O139" xr:uid="{1753C7A7-5EB0-4DD6-A1D4-2511EEBE78EA}">
    <filterColumn colId="0">
      <filters>
        <filter val="ANGEL"/>
      </filters>
    </filterColumn>
  </autoFilter>
  <sortState xmlns:xlrd2="http://schemas.microsoft.com/office/spreadsheetml/2017/richdata2" ref="B53:B139">
    <sortCondition ref="B53:B139"/>
  </sortState>
  <mergeCells count="6">
    <mergeCell ref="Q69:AC69"/>
    <mergeCell ref="B11:B22"/>
    <mergeCell ref="B27:N27"/>
    <mergeCell ref="B51:O51"/>
    <mergeCell ref="Q27:AC27"/>
    <mergeCell ref="Q51:AC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BD </vt:lpstr>
      <vt:lpstr>General</vt:lpstr>
      <vt:lpstr>Lista de Clientes</vt:lpstr>
      <vt:lpstr>Visitas</vt:lpstr>
      <vt:lpstr>Llamadas</vt:lpstr>
      <vt:lpstr>Dashboard</vt:lpstr>
      <vt:lpstr>INDICADORES (D)</vt:lpstr>
      <vt:lpstr>INDICADORES (M)</vt:lpstr>
      <vt:lpstr>INDICADORES (A)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Impro. 04</dc:creator>
  <cp:lastModifiedBy>Usuario</cp:lastModifiedBy>
  <cp:lastPrinted>2021-06-15T22:01:56Z</cp:lastPrinted>
  <dcterms:created xsi:type="dcterms:W3CDTF">2021-03-03T15:03:48Z</dcterms:created>
  <dcterms:modified xsi:type="dcterms:W3CDTF">2021-07-01T13:53:04Z</dcterms:modified>
</cp:coreProperties>
</file>